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Dileepa K - Documents\Funding Allocations &amp; Estimator Tool\e) 2021-2022\"/>
    </mc:Choice>
  </mc:AlternateContent>
  <workbookProtection workbookAlgorithmName="SHA-512" workbookHashValue="HYRmOz/axRp7h3BEiCnSjnIEgxFaKsBufi2c2Lm5snHDCyu7/BjitxUMO77RV1C1AkiObX76zx2f+MmmQknUIw==" workbookSaltValue="wG4nkczxDjb2L66ZofEgLA==" workbookSpinCount="100000" lockStructure="1"/>
  <bookViews>
    <workbookView xWindow="0" yWindow="0" windowWidth="23040" windowHeight="9390" tabRatio="656"/>
  </bookViews>
  <sheets>
    <sheet name="DataInfo(Input)" sheetId="1" r:id="rId1"/>
    <sheet name="Estimator(Output)" sheetId="5" r:id="rId2"/>
    <sheet name="FormulaFactors" sheetId="2" state="hidden" r:id="rId3"/>
    <sheet name="BandInfo" sheetId="6" state="hidden" r:id="rId4"/>
    <sheet name="HistoricalFunding" sheetId="12" state="hidden" r:id="rId5"/>
  </sheets>
  <definedNames>
    <definedName name="_xlnm._FilterDatabase" localSheetId="3" hidden="1">BandInfo!$A$2:$I$103</definedName>
    <definedName name="BasicRate">FormulaFactors!$C$7</definedName>
    <definedName name="District">BandInfo!#REF!</definedName>
    <definedName name="FirstNation">BandInfo!$B$3:$B$103</definedName>
    <definedName name="_xlnm.Print_Area" localSheetId="1">'Estimator(Output)'!$A$1:$T$59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I57" i="5" l="1"/>
  <c r="D53" i="5" l="1"/>
  <c r="D52" i="5" l="1"/>
  <c r="B6" i="1" l="1"/>
  <c r="C5" i="1"/>
  <c r="B26" i="1" s="1"/>
  <c r="B11" i="1"/>
  <c r="E29" i="5" s="1"/>
  <c r="F29" i="5" s="1"/>
  <c r="B10" i="1"/>
  <c r="D12" i="5"/>
  <c r="D8" i="5"/>
  <c r="E52" i="5"/>
  <c r="E7" i="5"/>
  <c r="E12" i="5" s="1"/>
  <c r="E8" i="5"/>
  <c r="E50" i="5"/>
  <c r="E51" i="5"/>
  <c r="D13" i="5"/>
  <c r="E21" i="5"/>
  <c r="E19" i="5"/>
  <c r="E20" i="5"/>
  <c r="E24" i="5"/>
  <c r="E41" i="5"/>
  <c r="D47" i="5"/>
  <c r="C3" i="5"/>
  <c r="B65" i="5" s="1"/>
  <c r="E33" i="5"/>
  <c r="E34" i="5"/>
  <c r="G1" i="5"/>
  <c r="B10" i="5" s="1"/>
  <c r="B22" i="1"/>
  <c r="B19" i="1"/>
  <c r="D14" i="5"/>
  <c r="E28" i="5" l="1"/>
  <c r="B12" i="1"/>
  <c r="I58" i="5"/>
  <c r="D29" i="5"/>
  <c r="D37" i="5"/>
  <c r="D5" i="1"/>
  <c r="E44" i="5"/>
  <c r="D38" i="5"/>
  <c r="D3" i="5"/>
  <c r="D33" i="5"/>
  <c r="B27" i="1"/>
  <c r="E27" i="5" s="1"/>
  <c r="F27" i="5" s="1"/>
  <c r="E11" i="5"/>
  <c r="F8" i="5"/>
  <c r="G8" i="5" s="1"/>
  <c r="D10" i="5"/>
  <c r="D16" i="5"/>
  <c r="F12" i="5" s="1"/>
  <c r="D24" i="5"/>
  <c r="D27" i="5"/>
  <c r="D28" i="5" s="1"/>
  <c r="F52" i="5"/>
  <c r="B14" i="1"/>
  <c r="E53" i="5" s="1"/>
  <c r="F53" i="5" s="1"/>
  <c r="B13" i="1"/>
  <c r="C4" i="5"/>
  <c r="F28" i="5" l="1"/>
  <c r="O66" i="5"/>
  <c r="O68" i="5" s="1"/>
  <c r="F33" i="5"/>
  <c r="F24" i="5"/>
  <c r="G24" i="5" s="1"/>
  <c r="D34" i="5"/>
  <c r="F34" i="5" s="1"/>
  <c r="D11" i="5"/>
  <c r="D15" i="5" s="1"/>
  <c r="F11" i="5" s="1"/>
  <c r="G12" i="5" s="1"/>
  <c r="D21" i="5"/>
  <c r="F21" i="5" s="1"/>
  <c r="D41" i="5"/>
  <c r="F41" i="5" s="1"/>
  <c r="G41" i="5" s="1"/>
  <c r="D44" i="5"/>
  <c r="F44" i="5" s="1"/>
  <c r="G44" i="5" s="1"/>
  <c r="D50" i="5"/>
  <c r="F50" i="5" s="1"/>
  <c r="D7" i="5"/>
  <c r="F7" i="5" s="1"/>
  <c r="D30" i="5"/>
  <c r="E30" i="5"/>
  <c r="F30" i="5" s="1"/>
  <c r="D20" i="5"/>
  <c r="F20" i="5" s="1"/>
  <c r="D51" i="5"/>
  <c r="F51" i="5" s="1"/>
  <c r="D19" i="5"/>
  <c r="F19" i="5" s="1"/>
  <c r="G30" i="5" l="1"/>
  <c r="G34" i="5"/>
  <c r="G21" i="5"/>
  <c r="E37" i="5"/>
  <c r="F37" i="5" s="1"/>
  <c r="E38" i="5"/>
  <c r="F38" i="5" s="1"/>
  <c r="G7" i="5"/>
  <c r="E49" i="5" l="1"/>
  <c r="F49" i="5" s="1"/>
  <c r="G53" i="5" s="1"/>
  <c r="G38" i="5"/>
  <c r="E47" i="5" s="1"/>
  <c r="F47" i="5" l="1"/>
  <c r="G47" i="5" s="1"/>
  <c r="O65" i="5" l="1"/>
  <c r="O67" i="5" s="1"/>
  <c r="O69" i="5" s="1"/>
  <c r="G56" i="5" s="1"/>
  <c r="G58" i="5" s="1"/>
</calcChain>
</file>

<file path=xl/comments1.xml><?xml version="1.0" encoding="utf-8"?>
<comments xmlns="http://schemas.openxmlformats.org/spreadsheetml/2006/main">
  <authors>
    <author>Dileepa Kumarapperuma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Dileepa Kumarapperuma:</t>
        </r>
        <r>
          <rPr>
            <sz val="9"/>
            <color indexed="81"/>
            <rFont val="Tahoma"/>
            <family val="2"/>
          </rPr>
          <t xml:space="preserve">
Three incremental buckets: &lt;=1 gets nothing. (1,4] gets 50%, &gt;4 gets 75% along with full amount of the previous 50% bucket.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Dileepa Kumarapperuma:</t>
        </r>
        <r>
          <rPr>
            <sz val="9"/>
            <color indexed="81"/>
            <rFont val="Tahoma"/>
            <family val="2"/>
          </rPr>
          <t xml:space="preserve">
Actuals is from prior year (-1). Forecast is for next year (+1). Therefore there is a 2 year lag.</t>
        </r>
      </text>
    </comment>
  </commentList>
</comments>
</file>

<file path=xl/sharedStrings.xml><?xml version="1.0" encoding="utf-8"?>
<sst xmlns="http://schemas.openxmlformats.org/spreadsheetml/2006/main" count="386" uniqueCount="274">
  <si>
    <t>Funding Formula Factors:</t>
  </si>
  <si>
    <t>These factors are referenced from the calculation spreadsheets</t>
  </si>
  <si>
    <t>Enrolment decline minimum:</t>
  </si>
  <si>
    <t>Enrolment decline threshold:</t>
  </si>
  <si>
    <t>Enrolment decline low factor:</t>
  </si>
  <si>
    <t>Enrolment decline high factor:</t>
  </si>
  <si>
    <t>Cumulative enrolment decline minimum:</t>
  </si>
  <si>
    <t>Cumulative enrolment decline factor:</t>
  </si>
  <si>
    <t>Elementary Small Community low threshold:</t>
  </si>
  <si>
    <t>Elementary Small Community high threshold:</t>
  </si>
  <si>
    <t>Elementary Small Community maximum:</t>
  </si>
  <si>
    <t>Elementary Small Community reduction rate:</t>
  </si>
  <si>
    <t>Secondary Small Community low threshold:</t>
  </si>
  <si>
    <t>Secondary Small Community high threshold:</t>
  </si>
  <si>
    <t>Secondary Small Community incremental rate:</t>
  </si>
  <si>
    <t>Secondary Small Community maximum:</t>
  </si>
  <si>
    <t>Secondary Small Community reduction rate:</t>
  </si>
  <si>
    <t xml:space="preserve">Grade 11 &amp; 12 Small Community low threshold: </t>
  </si>
  <si>
    <t xml:space="preserve">Grade 11 &amp; 12 Small Community high threshold: </t>
  </si>
  <si>
    <t xml:space="preserve">Grade 11 &amp; 12 Small Community incremental rate: </t>
  </si>
  <si>
    <t xml:space="preserve">Grade 11 &amp; 12 Small Community maximum: </t>
  </si>
  <si>
    <t xml:space="preserve">Grade 11 &amp; 12 Small Community reduction rate: </t>
  </si>
  <si>
    <t>Low Enrolment FTE rate:</t>
  </si>
  <si>
    <t>Low Enrolment School rate:</t>
  </si>
  <si>
    <t>Non-OGM factor:</t>
  </si>
  <si>
    <t>BCeSIS rate:</t>
  </si>
  <si>
    <t>Education Minor Capital / Fit-up rate:</t>
  </si>
  <si>
    <t>School Amount</t>
  </si>
  <si>
    <t>Basic Allocation</t>
  </si>
  <si>
    <t>Grades 11-12</t>
  </si>
  <si>
    <t>Funding</t>
  </si>
  <si>
    <t>Enrolment Decline</t>
  </si>
  <si>
    <t>1 year decline %</t>
  </si>
  <si>
    <t>Cumulative Decline%</t>
  </si>
  <si>
    <t>Unique Student Needs</t>
  </si>
  <si>
    <t>Salary Differential</t>
  </si>
  <si>
    <t>Elementary, Secondary, Adult FTE</t>
  </si>
  <si>
    <t>Small Community Supplement</t>
  </si>
  <si>
    <t>Secondary</t>
  </si>
  <si>
    <t xml:space="preserve">Low Enrolment </t>
  </si>
  <si>
    <t>Rural Factor</t>
  </si>
  <si>
    <t>Climate Factor</t>
  </si>
  <si>
    <t xml:space="preserve">Rural and Climate </t>
  </si>
  <si>
    <t>Non Formula Amount</t>
  </si>
  <si>
    <t>Non OGM Amount</t>
  </si>
  <si>
    <t>Adults Headcount</t>
  </si>
  <si>
    <t>Elementary (grades K-7) FTE</t>
  </si>
  <si>
    <t>Secondary (grades 8-12) FTE</t>
  </si>
  <si>
    <t>Grades 11-12 FTE</t>
  </si>
  <si>
    <t>Adults FTE</t>
  </si>
  <si>
    <t>SS</t>
  </si>
  <si>
    <t>Total Funding</t>
  </si>
  <si>
    <t>Elementary Small Community Funding -1a - FTE low threshold:</t>
  </si>
  <si>
    <t>Elementary Small Community Funding -1a - FTE high threshold:</t>
  </si>
  <si>
    <t>Elementary Small Community Funding -1a - FTE low rate:</t>
  </si>
  <si>
    <t>Elementary Small Community Funding -1a - FTE high rate:</t>
  </si>
  <si>
    <t>Elementary (small remote 1a)</t>
  </si>
  <si>
    <t xml:space="preserve">Elementary </t>
  </si>
  <si>
    <t>Enrolment (FTE) Amount</t>
  </si>
  <si>
    <t>K4</t>
  </si>
  <si>
    <t>K5</t>
  </si>
  <si>
    <t>Total School Aged Headcount</t>
  </si>
  <si>
    <t>Total School Aged FTE</t>
  </si>
  <si>
    <t>Number of schools</t>
  </si>
  <si>
    <t>No</t>
  </si>
  <si>
    <t>Recipient Number</t>
  </si>
  <si>
    <t>Yes</t>
  </si>
  <si>
    <t>Connectivity Funding</t>
  </si>
  <si>
    <t>Rural factor:</t>
  </si>
  <si>
    <t>Climate Factor:</t>
  </si>
  <si>
    <t>Student Location Factor</t>
  </si>
  <si>
    <t>Student Location factor</t>
  </si>
  <si>
    <t>Factor</t>
  </si>
  <si>
    <t>Amount</t>
  </si>
  <si>
    <t>Adult Education</t>
  </si>
  <si>
    <t>Technology/Connection Amount</t>
  </si>
  <si>
    <t>Row 1</t>
  </si>
  <si>
    <t>Row 2</t>
  </si>
  <si>
    <t>First Nation:</t>
  </si>
  <si>
    <t xml:space="preserve">FTE </t>
  </si>
  <si>
    <t>FTE One year decline</t>
  </si>
  <si>
    <t>1 year FTE</t>
  </si>
  <si>
    <t>3 year FTE</t>
  </si>
  <si>
    <t>FTE Decline previous year to 2 years prior</t>
  </si>
  <si>
    <t>Rows 3-5</t>
  </si>
  <si>
    <t>Row 20</t>
  </si>
  <si>
    <t>Basic Allocation Rate:</t>
  </si>
  <si>
    <t>Aboriginal Allocation Rate:</t>
  </si>
  <si>
    <t>Adult Education Rate:</t>
  </si>
  <si>
    <t>Salary Differential Rate:</t>
  </si>
  <si>
    <t>Band Name in Alphabetical order</t>
  </si>
  <si>
    <t>ELL:</t>
  </si>
  <si>
    <t xml:space="preserve">Total Funding </t>
  </si>
  <si>
    <t>BCeSIS (MYEdBC) amount</t>
  </si>
  <si>
    <t xml:space="preserve">Other Support </t>
  </si>
  <si>
    <t>Adult Transportation Weighting:</t>
  </si>
  <si>
    <t>Transportation small rate:</t>
  </si>
  <si>
    <t>Transportation low threshhold:</t>
  </si>
  <si>
    <t>Transportation low rate:</t>
  </si>
  <si>
    <t>Transportation mid threshold:</t>
  </si>
  <si>
    <t>Transportation mid rate:</t>
  </si>
  <si>
    <t>Transportation high threshold:</t>
  </si>
  <si>
    <t>Transportation high rate:</t>
  </si>
  <si>
    <t>District #</t>
  </si>
  <si>
    <t>Row 27</t>
  </si>
  <si>
    <t>K4 - 3 Transportation Weighting:</t>
  </si>
  <si>
    <t>Gr. 4 - 12 Transportation Weighting:</t>
  </si>
  <si>
    <t>Funding Protection</t>
  </si>
  <si>
    <t>Row 28</t>
  </si>
  <si>
    <t>Row 25</t>
  </si>
  <si>
    <t>School(s) eligible for the Small Remote School 1 a) funding:</t>
  </si>
  <si>
    <t>Band Number</t>
  </si>
  <si>
    <t>Total before Protection</t>
  </si>
  <si>
    <t>Band #</t>
  </si>
  <si>
    <t>Total School Age FTEs</t>
  </si>
  <si>
    <t>FTE and Headcount</t>
  </si>
  <si>
    <t>Drop from last year (if any)</t>
  </si>
  <si>
    <t>Negative 1.5% of Last Year Funding</t>
  </si>
  <si>
    <t>Protection</t>
  </si>
  <si>
    <t>Language &amp; Culture Rate per SA Enrolment</t>
  </si>
  <si>
    <t>District Name</t>
  </si>
  <si>
    <t>1a eligible flag</t>
  </si>
  <si>
    <t>SD Climate Index</t>
  </si>
  <si>
    <t>SD Rural Index</t>
  </si>
  <si>
    <t>SEPTEMBER:</t>
  </si>
  <si>
    <t>Language &amp; Culture</t>
  </si>
  <si>
    <t>Row 6</t>
  </si>
  <si>
    <t>Row 7</t>
  </si>
  <si>
    <t>Row 24</t>
  </si>
  <si>
    <t>Rows 8-11</t>
  </si>
  <si>
    <t>Rows 12-14</t>
  </si>
  <si>
    <t>Row 15</t>
  </si>
  <si>
    <t>Row 17</t>
  </si>
  <si>
    <t>Row 18</t>
  </si>
  <si>
    <t>Row 26</t>
  </si>
  <si>
    <t>Last Year Total Funding</t>
  </si>
  <si>
    <t>DOUGLAS INDIAN BAND</t>
  </si>
  <si>
    <t>WITSET FIRST NATION</t>
  </si>
  <si>
    <t>COAST MOUNTAINS</t>
  </si>
  <si>
    <t>GITWANGAK INDIAN BAND</t>
  </si>
  <si>
    <t>CENTRAL COAST</t>
  </si>
  <si>
    <t>SAULTEAU FIRST NATIONS</t>
  </si>
  <si>
    <t>PEACE RIVER SOUTH</t>
  </si>
  <si>
    <t>FORT NELSON FIRST NATION</t>
  </si>
  <si>
    <t>FORT NELSON</t>
  </si>
  <si>
    <t>PROPHET RIVER FIRST NATION</t>
  </si>
  <si>
    <t>BLUEBERRY RIVER FIRST NATIONS</t>
  </si>
  <si>
    <t>PEACE RIVER NORTH</t>
  </si>
  <si>
    <t>TSLEIL-WAUTUTH NATION</t>
  </si>
  <si>
    <t>NORTH VANCOUVER</t>
  </si>
  <si>
    <t>MUSQUEAM INDIAN BAND</t>
  </si>
  <si>
    <t>VANCOUVER</t>
  </si>
  <si>
    <t>SQUAMISH INDIAN BAND</t>
  </si>
  <si>
    <t>LIL'WAT NATION</t>
  </si>
  <si>
    <t>STS'AILES BAND</t>
  </si>
  <si>
    <t>FRASER-CASCADE</t>
  </si>
  <si>
    <t>SKATIN NATIONS</t>
  </si>
  <si>
    <t>SKWAH INDIAN BAND</t>
  </si>
  <si>
    <t>CHILLIWACK</t>
  </si>
  <si>
    <t>SQUIALA FIRST NATION</t>
  </si>
  <si>
    <t>SURREY</t>
  </si>
  <si>
    <t>SUMAS FIRST NATION</t>
  </si>
  <si>
    <t>ABBOTSFORD</t>
  </si>
  <si>
    <t>SEABIRD ISLAND INDIAN BAND</t>
  </si>
  <si>
    <t>GOLD TRAIL</t>
  </si>
  <si>
    <t>T'IT'Q'ET</t>
  </si>
  <si>
    <t>TSAL'ALH</t>
  </si>
  <si>
    <t>OSOYOOS INDIAN BAND</t>
  </si>
  <si>
    <t>OKANAGAN-SIMILKAMEEN</t>
  </si>
  <si>
    <t>PENTICTON INDIAN BAND</t>
  </si>
  <si>
    <t>OKANAGAN-SKAHA</t>
  </si>
  <si>
    <t>LOWER SIMILKAMEEN BAND</t>
  </si>
  <si>
    <t>SPLATSIN</t>
  </si>
  <si>
    <t>NORTH OKANAGAN-SHUSWAP</t>
  </si>
  <si>
    <t>?AQAM</t>
  </si>
  <si>
    <t>SOUTH EAST KOOTENAY</t>
  </si>
  <si>
    <t>LOWER KOOTENAY INDIAN BAND</t>
  </si>
  <si>
    <t>KOOTENAY LAKE</t>
  </si>
  <si>
    <t>TAKLA NATION</t>
  </si>
  <si>
    <t>NECHAKO LAKES</t>
  </si>
  <si>
    <t>TSAY KEH DENE BAND</t>
  </si>
  <si>
    <t>KWADACHA INDIAN BAND</t>
  </si>
  <si>
    <t>STIKINE</t>
  </si>
  <si>
    <t>NANAIMO-LADYSMITH</t>
  </si>
  <si>
    <t>OKANAGAN INDIAN BAND</t>
  </si>
  <si>
    <t>TL'AZT'EN NATION</t>
  </si>
  <si>
    <t>CAMPBELL RIVER INDIAN BAND</t>
  </si>
  <si>
    <t>CAMPBELL RIVER</t>
  </si>
  <si>
    <t>VANCOUVER ISLAND NORTH</t>
  </si>
  <si>
    <t>NAMGIS FIRST NATION</t>
  </si>
  <si>
    <t>DZAWADA'ENUXW FIRST NATION</t>
  </si>
  <si>
    <t>STZ'UMINUS FIRST NATION</t>
  </si>
  <si>
    <t>COWICHAN</t>
  </si>
  <si>
    <t>COWICHAN VALLEY</t>
  </si>
  <si>
    <t>NANOOSE FIRST NATION</t>
  </si>
  <si>
    <t>PENELAKUT TRIBE</t>
  </si>
  <si>
    <t>TSARTLIP INDIAN BAND</t>
  </si>
  <si>
    <t>SAANICH</t>
  </si>
  <si>
    <t>SONGHEES NATION</t>
  </si>
  <si>
    <t>T'SOU-KE FIRST NATION</t>
  </si>
  <si>
    <t>SOOKE</t>
  </si>
  <si>
    <t>PACHEEDAHT FIRST NATION</t>
  </si>
  <si>
    <t>OLD MASSETT VILLAGE COUNCIL BAND</t>
  </si>
  <si>
    <t>HAIDA GWAII/QUEEN CHARLOTTE</t>
  </si>
  <si>
    <t>GITXAALA NATION</t>
  </si>
  <si>
    <t>PRINCE RUPERT</t>
  </si>
  <si>
    <t>KITSELAS INDIAN BAND</t>
  </si>
  <si>
    <t>KITSUMKALUM INDIAN BAND</t>
  </si>
  <si>
    <t>ISKUT INDIAN BAND</t>
  </si>
  <si>
    <t>ADAMS LAKE INDIAN BAND</t>
  </si>
  <si>
    <t>KAMLOOPS/THOMPSON</t>
  </si>
  <si>
    <t>TK'EMLÚPS TE SECWÉPEMC</t>
  </si>
  <si>
    <t>NESKONLITH INDIAN BAND</t>
  </si>
  <si>
    <t>COLDWATER INDIAN BAND</t>
  </si>
  <si>
    <t>NICOLA-SIMILKAMEEN</t>
  </si>
  <si>
    <t>LOWER NICOLA INDIAN BAND</t>
  </si>
  <si>
    <t>UPPER NICOLA INDIAN BAND</t>
  </si>
  <si>
    <t>LYTTON INDIAN BAND</t>
  </si>
  <si>
    <t>TŜIDELDEL FIRST NATION</t>
  </si>
  <si>
    <t>CARIBOO-CHILCOTIN</t>
  </si>
  <si>
    <t>ESK'ETEMC</t>
  </si>
  <si>
    <t>TL'ETINQOX GOVERNMENT</t>
  </si>
  <si>
    <t>YUNESIT'IN GOVERNMENT</t>
  </si>
  <si>
    <t>WILLIAMS LAKE FIRST NATION</t>
  </si>
  <si>
    <t>ULKATCHO INDIAN BAND</t>
  </si>
  <si>
    <t>STSWECEM'C XGAT'TEM FIRST NATION</t>
  </si>
  <si>
    <t>GWA'SALA-NAKWAXDA'XW INDIAN BAND</t>
  </si>
  <si>
    <t>YEKOOCHE FIRST NATION</t>
  </si>
  <si>
    <t>See tab"BandInfo"</t>
  </si>
  <si>
    <t>Curricu &amp; Learning (fmr Edu Plan)</t>
  </si>
  <si>
    <t>Aboriginal Education:</t>
  </si>
  <si>
    <t>Curriculum and Learning</t>
  </si>
  <si>
    <t>Curri &amp; Learn Sppt (former: Education Plan)</t>
  </si>
  <si>
    <t>ENTER DATA IN PINK COLOURED CELLS TO FORECAST/ESTIMATE FUNDING</t>
  </si>
  <si>
    <t>Row 22</t>
  </si>
  <si>
    <t>Transportation Component</t>
  </si>
  <si>
    <t>Education Minor Capital (O&amp;M)</t>
  </si>
  <si>
    <t>BCTEA 2020/21 Allocation</t>
  </si>
  <si>
    <t>NUXALK NATION BAND</t>
  </si>
  <si>
    <t>SNUNEYMUXW FIRST NATION</t>
  </si>
  <si>
    <t>HOWE SOUND</t>
  </si>
  <si>
    <t>FUNDING ESTIMATION</t>
  </si>
  <si>
    <t>FUNDING SOURCE/CATEGORY</t>
  </si>
  <si>
    <t>Number of Schools within community:</t>
  </si>
  <si>
    <t>First Nation Name</t>
  </si>
  <si>
    <t>School District Name</t>
  </si>
  <si>
    <t>Estimates for September of,</t>
  </si>
  <si>
    <t>SA FTE (PREVIOUS YEAR) - Actual</t>
  </si>
  <si>
    <t>SA FTE (3 YEARS PREVIOUS) - Actual</t>
  </si>
  <si>
    <t>Sch. Dist. #</t>
  </si>
  <si>
    <t>Rows as Indicated in BCTEA manual</t>
  </si>
  <si>
    <t>Equity of Opportunity Suppl.:</t>
  </si>
  <si>
    <t>Projected/Anticipated FTEs (Enrolments)</t>
  </si>
  <si>
    <t>Projected/Anticipated Headcounts (Enrolments)</t>
  </si>
  <si>
    <t>BCTEA 2021/22 Allocation</t>
  </si>
  <si>
    <t>GITSEGUKLA INDIAN BAND</t>
  </si>
  <si>
    <t>KITASOO XAI'XAIS NATION</t>
  </si>
  <si>
    <t>XAXLI'P INDIAN BAND</t>
  </si>
  <si>
    <t>TS'KW'AYLAXW FIRST NATION</t>
  </si>
  <si>
    <t>KWAKIUTL INDIAN BAND</t>
  </si>
  <si>
    <t>QUATSINO INDIAN BAND</t>
  </si>
  <si>
    <t>CENTRAL OKANAGAN</t>
  </si>
  <si>
    <t>GREATER VICTORIA</t>
  </si>
  <si>
    <t>2021/22</t>
  </si>
  <si>
    <t>ESL Incidence Rate:</t>
  </si>
  <si>
    <t>ESL Allocation Rate:</t>
  </si>
  <si>
    <t>Elementary Small Community micro threshold:</t>
  </si>
  <si>
    <t>Elementary Small Community 8 and under:</t>
  </si>
  <si>
    <t>EOO (fomer Vulnerable Students)</t>
  </si>
  <si>
    <r>
      <t>K-12 Operational Funding for BCTEA formula funded FN schools (This estimate does not include Language &amp; Culture and Special Education funding) -</t>
    </r>
    <r>
      <rPr>
        <b/>
        <u/>
        <sz val="14"/>
        <color theme="3" tint="0.39997558519241921"/>
        <rFont val="Calibri"/>
        <family val="2"/>
        <scheme val="minor"/>
      </rPr>
      <t xml:space="preserve"> </t>
    </r>
    <r>
      <rPr>
        <b/>
        <i/>
        <u/>
        <sz val="10"/>
        <color theme="3" tint="0.39997558519241921"/>
        <rFont val="Calibri"/>
        <family val="2"/>
        <scheme val="minor"/>
      </rPr>
      <t>prepared on 04/July/2022</t>
    </r>
  </si>
  <si>
    <t>If you have any questions or need assistance with this tool, please reach out to FNESC/Senior Funding Analyst (dileepak@fnesc.ca).</t>
  </si>
  <si>
    <t>Row 16</t>
  </si>
  <si>
    <t>Row 19</t>
  </si>
  <si>
    <t>Row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</si>
</sst>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&quot;$&quot;#,##0"/>
    <numFmt numFmtId="168" formatCode="0.0%"/>
    <numFmt numFmtId="169" formatCode="&quot;$&quot;#,##0.00"/>
    <numFmt numFmtId="170" formatCode="0.000"/>
    <numFmt numFmtId="171" formatCode="_(* #,##0.000_);_(* \(#,##0.000\);_(* &quot;-&quot;??_);_(@_)"/>
    <numFmt numFmtId="172" formatCode="_(&quot;$&quot;* #,##0_);_(&quot;$&quot;* \(#,##0\);_(&quot;$&quot;* &quot;-&quot;??_);_(@_)"/>
    <numFmt numFmtId="173" formatCode="0.0000"/>
    <numFmt numFmtId="174" formatCode="_(* #,##0_);_(* \(#,##0\);_(* &quot;-&quot;??_);_(@_)"/>
    <numFmt numFmtId="175" formatCode="0000"/>
    <numFmt numFmtId="176" formatCode="[$$-409]\ #,##0.00"/>
    <numFmt numFmtId="177" formatCode="[$$-409]\ #,##0"/>
    <numFmt numFmtId="178" formatCode="#,##0.000"/>
    <numFmt numFmtId="179" formatCode="0.00000"/>
    <numFmt numFmtId="180" formatCode="#,##0.0"/>
    <numFmt numFmtId="181" formatCode="#,##0.0_);\(#,##0.0\)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9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9.85"/>
      <color indexed="8"/>
      <name val="Times New Roman"/>
      <family val="1"/>
    </font>
    <font>
      <sz val="8.5"/>
      <name val="Microsoft Sans Serif"/>
      <family val="2"/>
    </font>
    <font>
      <u/>
      <sz val="10"/>
      <color rgb="FF0000FF"/>
      <name val="MS Sans Serif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Tahoma"/>
      <family val="2"/>
    </font>
    <font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3" tint="0.39997558519241921"/>
      <name val="Calibri"/>
      <family val="2"/>
      <scheme val="minor"/>
    </font>
    <font>
      <b/>
      <u/>
      <sz val="14"/>
      <color theme="9" tint="-0.499984740745262"/>
      <name val="Calibri"/>
      <family val="2"/>
      <scheme val="minor"/>
    </font>
    <font>
      <b/>
      <i/>
      <u/>
      <sz val="10"/>
      <color theme="3" tint="0.3999755851924192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theme="2" tint="-0.24994659260841701"/>
      </right>
      <top style="thin">
        <color indexed="64"/>
      </top>
      <bottom style="hair">
        <color theme="2" tint="-0.24994659260841701"/>
      </bottom>
      <diagonal/>
    </border>
    <border>
      <left style="hair">
        <color theme="2" tint="-0.24994659260841701"/>
      </left>
      <right style="thin">
        <color indexed="64"/>
      </right>
      <top style="thin">
        <color indexed="64"/>
      </top>
      <bottom style="hair">
        <color theme="2" tint="-0.24994659260841701"/>
      </bottom>
      <diagonal/>
    </border>
    <border>
      <left style="thin">
        <color indexed="64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thin">
        <color indexed="64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indexed="64"/>
      </left>
      <right style="hair">
        <color theme="2" tint="-0.24994659260841701"/>
      </right>
      <top style="hair">
        <color theme="2" tint="-0.24994659260841701"/>
      </top>
      <bottom style="thin">
        <color indexed="64"/>
      </bottom>
      <diagonal/>
    </border>
    <border>
      <left style="hair">
        <color theme="2" tint="-0.24994659260841701"/>
      </left>
      <right style="thin">
        <color indexed="64"/>
      </right>
      <top style="hair">
        <color theme="2" tint="-0.24994659260841701"/>
      </top>
      <bottom style="thin">
        <color indexed="64"/>
      </bottom>
      <diagonal/>
    </border>
    <border>
      <left style="dotted">
        <color theme="5" tint="0.79998168889431442"/>
      </left>
      <right style="dotted">
        <color theme="5" tint="0.79998168889431442"/>
      </right>
      <top style="dotted">
        <color theme="5" tint="0.79998168889431442"/>
      </top>
      <bottom style="dotted">
        <color theme="5" tint="0.79998168889431442"/>
      </bottom>
      <diagonal/>
    </border>
    <border>
      <left style="thin">
        <color indexed="64"/>
      </left>
      <right style="dotted">
        <color theme="5" tint="0.79998168889431442"/>
      </right>
      <top style="thin">
        <color indexed="64"/>
      </top>
      <bottom style="dotted">
        <color theme="5" tint="0.79998168889431442"/>
      </bottom>
      <diagonal/>
    </border>
    <border>
      <left style="dotted">
        <color theme="5" tint="0.79998168889431442"/>
      </left>
      <right style="dotted">
        <color theme="5" tint="0.79998168889431442"/>
      </right>
      <top style="thin">
        <color indexed="64"/>
      </top>
      <bottom style="dotted">
        <color theme="5" tint="0.79998168889431442"/>
      </bottom>
      <diagonal/>
    </border>
    <border>
      <left style="dotted">
        <color theme="5" tint="0.79998168889431442"/>
      </left>
      <right style="thin">
        <color indexed="64"/>
      </right>
      <top style="thin">
        <color indexed="64"/>
      </top>
      <bottom style="dotted">
        <color theme="5" tint="0.79998168889431442"/>
      </bottom>
      <diagonal/>
    </border>
    <border>
      <left style="thin">
        <color indexed="64"/>
      </left>
      <right style="dotted">
        <color theme="5" tint="0.79998168889431442"/>
      </right>
      <top style="dotted">
        <color theme="5" tint="0.79998168889431442"/>
      </top>
      <bottom style="dotted">
        <color theme="5" tint="0.79998168889431442"/>
      </bottom>
      <diagonal/>
    </border>
    <border>
      <left style="dotted">
        <color theme="5" tint="0.79998168889431442"/>
      </left>
      <right style="thin">
        <color indexed="64"/>
      </right>
      <top style="dotted">
        <color theme="5" tint="0.79998168889431442"/>
      </top>
      <bottom style="dotted">
        <color theme="5" tint="0.79998168889431442"/>
      </bottom>
      <diagonal/>
    </border>
    <border>
      <left style="thin">
        <color indexed="64"/>
      </left>
      <right style="dotted">
        <color theme="5" tint="0.79998168889431442"/>
      </right>
      <top style="dotted">
        <color theme="5" tint="0.79998168889431442"/>
      </top>
      <bottom style="thin">
        <color indexed="64"/>
      </bottom>
      <diagonal/>
    </border>
    <border>
      <left style="dotted">
        <color theme="5" tint="0.79998168889431442"/>
      </left>
      <right style="dotted">
        <color theme="5" tint="0.79998168889431442"/>
      </right>
      <top style="dotted">
        <color theme="5" tint="0.79998168889431442"/>
      </top>
      <bottom style="thin">
        <color indexed="64"/>
      </bottom>
      <diagonal/>
    </border>
    <border>
      <left style="dotted">
        <color theme="5" tint="0.79998168889431442"/>
      </left>
      <right style="thin">
        <color indexed="64"/>
      </right>
      <top style="dotted">
        <color theme="5" tint="0.79998168889431442"/>
      </top>
      <bottom style="thin">
        <color indexed="64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5" tint="0.79998168889431442"/>
      </right>
      <top style="dotted">
        <color theme="5" tint="0.79998168889431442"/>
      </top>
      <bottom/>
      <diagonal/>
    </border>
    <border>
      <left style="dotted">
        <color theme="5" tint="0.79998168889431442"/>
      </left>
      <right style="dotted">
        <color theme="5" tint="0.79998168889431442"/>
      </right>
      <top style="dotted">
        <color theme="5" tint="0.79998168889431442"/>
      </top>
      <bottom/>
      <diagonal/>
    </border>
    <border>
      <left style="dotted">
        <color theme="5" tint="0.79998168889431442"/>
      </left>
      <right style="thin">
        <color indexed="64"/>
      </right>
      <top style="dotted">
        <color theme="5" tint="0.79998168889431442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62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/>
    <xf numFmtId="3" fontId="4" fillId="0" borderId="0"/>
    <xf numFmtId="3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7" fillId="0" borderId="33" applyNumberFormat="0" applyFill="0" applyAlignment="0" applyProtection="0"/>
    <xf numFmtId="0" fontId="28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35" applyNumberFormat="0" applyAlignment="0" applyProtection="0"/>
    <xf numFmtId="0" fontId="33" fillId="8" borderId="36" applyNumberFormat="0" applyAlignment="0" applyProtection="0"/>
    <xf numFmtId="0" fontId="34" fillId="8" borderId="35" applyNumberFormat="0" applyAlignment="0" applyProtection="0"/>
    <xf numFmtId="0" fontId="35" fillId="0" borderId="37" applyNumberFormat="0" applyFill="0" applyAlignment="0" applyProtection="0"/>
    <xf numFmtId="0" fontId="36" fillId="9" borderId="38" applyNumberFormat="0" applyAlignment="0" applyProtection="0"/>
    <xf numFmtId="0" fontId="23" fillId="0" borderId="0" applyNumberFormat="0" applyFill="0" applyBorder="0" applyAlignment="0" applyProtection="0"/>
    <xf numFmtId="0" fontId="1" fillId="10" borderId="39" applyNumberFormat="0" applyFont="0" applyAlignment="0" applyProtection="0"/>
    <xf numFmtId="0" fontId="37" fillId="0" borderId="0" applyNumberFormat="0" applyFill="0" applyBorder="0" applyAlignment="0" applyProtection="0"/>
    <xf numFmtId="0" fontId="6" fillId="0" borderId="40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175" fontId="3" fillId="0" borderId="0"/>
    <xf numFmtId="0" fontId="4" fillId="0" borderId="0"/>
    <xf numFmtId="3" fontId="40" fillId="35" borderId="0" applyFont="0" applyFill="0" applyBorder="0" applyAlignment="0" applyProtection="0"/>
    <xf numFmtId="5" fontId="40" fillId="35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175" fontId="3" fillId="0" borderId="0"/>
    <xf numFmtId="0" fontId="41" fillId="0" borderId="0" applyFont="0" applyFill="0" applyBorder="0" applyAlignment="0" applyProtection="0"/>
    <xf numFmtId="175" fontId="3" fillId="0" borderId="0"/>
    <xf numFmtId="0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0" borderId="0" applyNumberFormat="0" applyBorder="0" applyAlignment="0" applyProtection="0"/>
    <xf numFmtId="0" fontId="1" fillId="24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0" fillId="40" borderId="41" applyNumberFormat="0" applyAlignment="0" applyProtection="0"/>
    <xf numFmtId="0" fontId="34" fillId="8" borderId="35" applyNumberFormat="0" applyAlignment="0" applyProtection="0"/>
    <xf numFmtId="0" fontId="34" fillId="8" borderId="35" applyNumberFormat="0" applyAlignment="0" applyProtection="0"/>
    <xf numFmtId="0" fontId="52" fillId="55" borderId="42" applyNumberFormat="0" applyAlignment="0" applyProtection="0"/>
    <xf numFmtId="0" fontId="52" fillId="55" borderId="42" applyNumberFormat="0" applyAlignment="0" applyProtection="0"/>
    <xf numFmtId="0" fontId="36" fillId="9" borderId="38" applyNumberFormat="0" applyAlignment="0" applyProtection="0"/>
    <xf numFmtId="0" fontId="36" fillId="9" borderId="38" applyNumberFormat="0" applyAlignment="0" applyProtection="0"/>
    <xf numFmtId="43" fontId="4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43" fontId="42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43" fontId="42" fillId="0" borderId="0" applyFont="0" applyFill="0" applyBorder="0" applyAlignment="0" applyProtection="0"/>
    <xf numFmtId="4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" fillId="35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/>
    <xf numFmtId="43" fontId="24" fillId="0" borderId="0" applyFont="0" applyFill="0" applyBorder="0" applyAlignment="0" applyProtection="0">
      <alignment vertical="top"/>
    </xf>
    <xf numFmtId="4" fontId="4" fillId="0" borderId="0"/>
    <xf numFmtId="43" fontId="24" fillId="0" borderId="0" applyFont="0" applyFill="0" applyBorder="0" applyAlignment="0" applyProtection="0">
      <alignment vertical="top"/>
    </xf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3" fillId="35" borderId="0"/>
    <xf numFmtId="3" fontId="4" fillId="0" borderId="0"/>
    <xf numFmtId="3" fontId="4" fillId="35" borderId="0"/>
    <xf numFmtId="3" fontId="4" fillId="0" borderId="0" applyFont="0" applyFill="0" applyBorder="0" applyAlignment="0" applyProtection="0"/>
    <xf numFmtId="3" fontId="4" fillId="0" borderId="0"/>
    <xf numFmtId="3" fontId="4" fillId="0" borderId="0"/>
    <xf numFmtId="3" fontId="3" fillId="35" borderId="0"/>
    <xf numFmtId="3" fontId="40" fillId="35" borderId="0" applyFont="0" applyFill="0" applyBorder="0" applyAlignment="0" applyProtection="0"/>
    <xf numFmtId="3" fontId="40" fillId="35" borderId="0" applyFont="0" applyFill="0" applyBorder="0" applyAlignment="0" applyProtection="0"/>
    <xf numFmtId="3" fontId="4" fillId="35" borderId="0"/>
    <xf numFmtId="3" fontId="4" fillId="0" borderId="0"/>
    <xf numFmtId="3" fontId="4" fillId="0" borderId="0"/>
    <xf numFmtId="3" fontId="40" fillId="35" borderId="0" applyFont="0" applyFill="0" applyBorder="0" applyAlignment="0" applyProtection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/>
    <xf numFmtId="44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57" fillId="0" borderId="0" applyNumberFormat="0" applyFill="0" applyBorder="0" applyProtection="0">
      <alignment horizontal="center"/>
    </xf>
    <xf numFmtId="0" fontId="57" fillId="0" borderId="0" applyNumberFormat="0" applyFill="0" applyBorder="0" applyProtection="0">
      <alignment horizontal="center"/>
    </xf>
    <xf numFmtId="0" fontId="57" fillId="0" borderId="0" applyNumberFormat="0" applyFill="0" applyBorder="0" applyProtection="0">
      <alignment horizontal="center"/>
    </xf>
    <xf numFmtId="0" fontId="57" fillId="0" borderId="0" applyNumberFormat="0" applyFill="0" applyBorder="0" applyProtection="0">
      <alignment horizontal="center"/>
    </xf>
    <xf numFmtId="44" fontId="42" fillId="0" borderId="0" applyFont="0" applyFill="0" applyBorder="0" applyAlignment="0" applyProtection="0"/>
    <xf numFmtId="44" fontId="24" fillId="0" borderId="0" applyFont="0" applyFill="0" applyBorder="0" applyAlignment="0" applyProtection="0">
      <alignment vertical="top"/>
    </xf>
    <xf numFmtId="7" fontId="4" fillId="35" borderId="0"/>
    <xf numFmtId="44" fontId="24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/>
    <xf numFmtId="164" fontId="4" fillId="0" borderId="0" applyFont="0" applyFill="0" applyBorder="0" applyAlignment="0" applyProtection="0"/>
    <xf numFmtId="5" fontId="3" fillId="35" borderId="0"/>
    <xf numFmtId="5" fontId="4" fillId="35" borderId="0"/>
    <xf numFmtId="177" fontId="4" fillId="0" borderId="0"/>
    <xf numFmtId="5" fontId="4" fillId="0" borderId="0"/>
    <xf numFmtId="5" fontId="4" fillId="0" borderId="0"/>
    <xf numFmtId="5" fontId="3" fillId="35" borderId="0"/>
    <xf numFmtId="5" fontId="4" fillId="35" borderId="0"/>
    <xf numFmtId="177" fontId="4" fillId="0" borderId="0"/>
    <xf numFmtId="5" fontId="4" fillId="0" borderId="0"/>
    <xf numFmtId="0" fontId="4" fillId="35" borderId="0"/>
    <xf numFmtId="14" fontId="4" fillId="0" borderId="0" applyFont="0" applyFill="0" applyBorder="0" applyAlignment="0" applyProtection="0"/>
    <xf numFmtId="0" fontId="3" fillId="35" borderId="0"/>
    <xf numFmtId="0" fontId="4" fillId="35" borderId="0"/>
    <xf numFmtId="14" fontId="4" fillId="0" borderId="0"/>
    <xf numFmtId="0" fontId="4" fillId="35" borderId="0"/>
    <xf numFmtId="0" fontId="4" fillId="35" borderId="0"/>
    <xf numFmtId="14" fontId="4" fillId="0" borderId="0" applyFont="0" applyFill="0" applyBorder="0" applyAlignment="0" applyProtection="0"/>
    <xf numFmtId="14" fontId="4" fillId="0" borderId="0"/>
    <xf numFmtId="0" fontId="3" fillId="35" borderId="0"/>
    <xf numFmtId="0" fontId="4" fillId="35" borderId="0"/>
    <xf numFmtId="14" fontId="4" fillId="0" borderId="0" applyFont="0" applyFill="0" applyBorder="0" applyAlignment="0" applyProtection="0"/>
    <xf numFmtId="14" fontId="4" fillId="0" borderId="0"/>
    <xf numFmtId="0" fontId="4" fillId="35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4" fillId="35" borderId="0"/>
    <xf numFmtId="2" fontId="4" fillId="0" borderId="0" applyFont="0" applyFill="0" applyBorder="0" applyAlignment="0" applyProtection="0"/>
    <xf numFmtId="2" fontId="4" fillId="35" borderId="0"/>
    <xf numFmtId="2" fontId="4" fillId="0" borderId="0"/>
    <xf numFmtId="2" fontId="4" fillId="35" borderId="0"/>
    <xf numFmtId="2" fontId="4" fillId="35" borderId="0"/>
    <xf numFmtId="2" fontId="4" fillId="0" borderId="0" applyFont="0" applyFill="0" applyBorder="0" applyAlignment="0" applyProtection="0"/>
    <xf numFmtId="2" fontId="4" fillId="0" borderId="0"/>
    <xf numFmtId="2" fontId="4" fillId="35" borderId="0"/>
    <xf numFmtId="2" fontId="4" fillId="0" borderId="0" applyFont="0" applyFill="0" applyBorder="0" applyAlignment="0" applyProtection="0"/>
    <xf numFmtId="2" fontId="4" fillId="0" borderId="0"/>
    <xf numFmtId="2" fontId="4" fillId="35" borderId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1" fillId="0" borderId="0" applyFont="0" applyFill="0" applyBorder="0" applyAlignment="0" applyProtection="0"/>
    <xf numFmtId="0" fontId="41" fillId="0" borderId="0"/>
    <xf numFmtId="0" fontId="41" fillId="35" borderId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41" fillId="0" borderId="0"/>
    <xf numFmtId="0" fontId="41" fillId="0" borderId="0"/>
    <xf numFmtId="0" fontId="2" fillId="0" borderId="0" applyFont="0" applyFill="0" applyBorder="0" applyAlignment="0" applyProtection="0"/>
    <xf numFmtId="0" fontId="2" fillId="0" borderId="0"/>
    <xf numFmtId="0" fontId="2" fillId="35" borderId="0"/>
    <xf numFmtId="0" fontId="27" fillId="0" borderId="33" applyNumberFormat="0" applyFill="0" applyAlignment="0" applyProtection="0"/>
    <xf numFmtId="0" fontId="27" fillId="0" borderId="33" applyNumberFormat="0" applyFill="0" applyAlignment="0" applyProtection="0"/>
    <xf numFmtId="0" fontId="2" fillId="0" borderId="0"/>
    <xf numFmtId="0" fontId="2" fillId="0" borderId="0"/>
    <xf numFmtId="0" fontId="44" fillId="0" borderId="43" applyNumberFormat="0" applyFill="0" applyAlignment="0" applyProtection="0"/>
    <xf numFmtId="0" fontId="28" fillId="0" borderId="34" applyNumberFormat="0" applyFill="0" applyAlignment="0" applyProtection="0"/>
    <xf numFmtId="0" fontId="28" fillId="0" borderId="3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48" fillId="42" borderId="41" applyNumberFormat="0" applyAlignment="0" applyProtection="0"/>
    <xf numFmtId="0" fontId="48" fillId="42" borderId="41" applyNumberFormat="0" applyAlignment="0" applyProtection="0"/>
    <xf numFmtId="0" fontId="48" fillId="40" borderId="41" applyNumberFormat="0" applyAlignment="0" applyProtection="0"/>
    <xf numFmtId="0" fontId="32" fillId="7" borderId="35" applyNumberFormat="0" applyAlignment="0" applyProtection="0"/>
    <xf numFmtId="0" fontId="32" fillId="7" borderId="35" applyNumberFormat="0" applyAlignment="0" applyProtection="0"/>
    <xf numFmtId="0" fontId="51" fillId="0" borderId="44" applyNumberFormat="0" applyFill="0" applyAlignment="0" applyProtection="0"/>
    <xf numFmtId="0" fontId="35" fillId="0" borderId="37" applyNumberFormat="0" applyFill="0" applyAlignment="0" applyProtection="0"/>
    <xf numFmtId="0" fontId="35" fillId="0" borderId="37" applyNumberFormat="0" applyFill="0" applyAlignment="0" applyProtection="0"/>
    <xf numFmtId="0" fontId="47" fillId="5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0" fontId="56" fillId="0" borderId="0"/>
    <xf numFmtId="0" fontId="56" fillId="0" borderId="0"/>
    <xf numFmtId="0" fontId="4" fillId="0" borderId="0"/>
    <xf numFmtId="0" fontId="56" fillId="0" borderId="0"/>
    <xf numFmtId="0" fontId="56" fillId="0" borderId="0"/>
    <xf numFmtId="0" fontId="4" fillId="0" borderId="0"/>
    <xf numFmtId="0" fontId="56" fillId="0" borderId="0"/>
    <xf numFmtId="0" fontId="4" fillId="0" borderId="0"/>
    <xf numFmtId="0" fontId="24" fillId="0" borderId="0">
      <alignment vertical="top"/>
    </xf>
    <xf numFmtId="0" fontId="56" fillId="0" borderId="0"/>
    <xf numFmtId="0" fontId="4" fillId="0" borderId="0"/>
    <xf numFmtId="0" fontId="24" fillId="0" borderId="0">
      <alignment vertical="top"/>
    </xf>
    <xf numFmtId="0" fontId="56" fillId="0" borderId="0"/>
    <xf numFmtId="0" fontId="1" fillId="0" borderId="0"/>
    <xf numFmtId="0" fontId="56" fillId="0" borderId="0"/>
    <xf numFmtId="0" fontId="24" fillId="0" borderId="0">
      <alignment vertical="top"/>
    </xf>
    <xf numFmtId="0" fontId="24" fillId="0" borderId="0">
      <alignment vertical="top"/>
    </xf>
    <xf numFmtId="0" fontId="56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6" fillId="0" borderId="0"/>
    <xf numFmtId="0" fontId="24" fillId="0" borderId="0">
      <alignment vertical="top"/>
    </xf>
    <xf numFmtId="0" fontId="56" fillId="0" borderId="0"/>
    <xf numFmtId="0" fontId="24" fillId="0" borderId="0">
      <alignment vertical="top"/>
    </xf>
    <xf numFmtId="0" fontId="1" fillId="0" borderId="0"/>
    <xf numFmtId="0" fontId="56" fillId="0" borderId="0"/>
    <xf numFmtId="0" fontId="4" fillId="0" borderId="0"/>
    <xf numFmtId="0" fontId="56" fillId="0" borderId="0"/>
    <xf numFmtId="0" fontId="1" fillId="0" borderId="0"/>
    <xf numFmtId="0" fontId="5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0" fontId="24" fillId="0" borderId="0">
      <alignment vertical="top"/>
    </xf>
    <xf numFmtId="0" fontId="4" fillId="0" borderId="0"/>
    <xf numFmtId="0" fontId="56" fillId="0" borderId="0"/>
    <xf numFmtId="0" fontId="24" fillId="0" borderId="0">
      <alignment vertical="top"/>
    </xf>
    <xf numFmtId="0" fontId="4" fillId="0" borderId="0"/>
    <xf numFmtId="0" fontId="56" fillId="0" borderId="0"/>
    <xf numFmtId="0" fontId="24" fillId="0" borderId="0">
      <alignment vertical="top"/>
    </xf>
    <xf numFmtId="0" fontId="4" fillId="0" borderId="0"/>
    <xf numFmtId="0" fontId="24" fillId="0" borderId="0">
      <alignment vertical="top"/>
    </xf>
    <xf numFmtId="0" fontId="56" fillId="0" borderId="0"/>
    <xf numFmtId="0" fontId="60" fillId="0" borderId="0"/>
    <xf numFmtId="0" fontId="56" fillId="0" borderId="0"/>
    <xf numFmtId="0" fontId="24" fillId="0" borderId="0">
      <alignment vertical="top"/>
    </xf>
    <xf numFmtId="0" fontId="5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0" fontId="4" fillId="0" borderId="0"/>
    <xf numFmtId="0" fontId="56" fillId="0" borderId="0"/>
    <xf numFmtId="0" fontId="4" fillId="0" borderId="0"/>
    <xf numFmtId="0" fontId="56" fillId="0" borderId="0"/>
    <xf numFmtId="0" fontId="24" fillId="0" borderId="0">
      <alignment vertical="top"/>
    </xf>
    <xf numFmtId="0" fontId="24" fillId="0" borderId="0">
      <alignment vertical="top"/>
    </xf>
    <xf numFmtId="0" fontId="56" fillId="0" borderId="0"/>
    <xf numFmtId="0" fontId="24" fillId="0" borderId="0">
      <alignment vertical="top"/>
    </xf>
    <xf numFmtId="0" fontId="24" fillId="0" borderId="0">
      <alignment vertical="top"/>
    </xf>
    <xf numFmtId="0" fontId="56" fillId="0" borderId="0"/>
    <xf numFmtId="0" fontId="5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6" fillId="0" borderId="0"/>
    <xf numFmtId="0" fontId="24" fillId="0" borderId="0">
      <alignment vertical="top"/>
    </xf>
    <xf numFmtId="0" fontId="56" fillId="0" borderId="0"/>
    <xf numFmtId="0" fontId="56" fillId="0" borderId="0"/>
    <xf numFmtId="0" fontId="56" fillId="0" borderId="0"/>
    <xf numFmtId="175" fontId="3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8" fillId="0" borderId="0">
      <protection locked="0"/>
    </xf>
    <xf numFmtId="0" fontId="5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0" fontId="24" fillId="0" borderId="0">
      <alignment vertical="top"/>
    </xf>
    <xf numFmtId="0" fontId="4" fillId="0" borderId="0"/>
    <xf numFmtId="0" fontId="56" fillId="0" borderId="0"/>
    <xf numFmtId="0" fontId="4" fillId="0" borderId="0"/>
    <xf numFmtId="175" fontId="3" fillId="0" borderId="0"/>
    <xf numFmtId="0" fontId="5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0" fontId="24" fillId="0" borderId="0">
      <alignment vertical="top"/>
    </xf>
    <xf numFmtId="0" fontId="56" fillId="0" borderId="0"/>
    <xf numFmtId="0" fontId="4" fillId="0" borderId="0"/>
    <xf numFmtId="0" fontId="56" fillId="0" borderId="0"/>
    <xf numFmtId="0" fontId="24" fillId="0" borderId="0">
      <alignment vertical="top"/>
    </xf>
    <xf numFmtId="0" fontId="4" fillId="0" borderId="0"/>
    <xf numFmtId="0" fontId="4" fillId="0" borderId="0"/>
    <xf numFmtId="0" fontId="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6" fillId="0" borderId="0"/>
    <xf numFmtId="0" fontId="56" fillId="0" borderId="0"/>
    <xf numFmtId="0" fontId="24" fillId="0" borderId="0">
      <alignment vertical="top"/>
    </xf>
    <xf numFmtId="0" fontId="56" fillId="0" borderId="0"/>
    <xf numFmtId="0" fontId="24" fillId="0" borderId="0">
      <alignment vertical="top"/>
    </xf>
    <xf numFmtId="175" fontId="3" fillId="0" borderId="0"/>
    <xf numFmtId="175" fontId="3" fillId="0" borderId="0"/>
    <xf numFmtId="0" fontId="4" fillId="0" borderId="0"/>
    <xf numFmtId="0" fontId="56" fillId="0" borderId="0"/>
    <xf numFmtId="0" fontId="56" fillId="0" borderId="0"/>
    <xf numFmtId="0" fontId="56" fillId="0" borderId="0"/>
    <xf numFmtId="175" fontId="3" fillId="0" borderId="0"/>
    <xf numFmtId="0" fontId="56" fillId="0" borderId="0"/>
    <xf numFmtId="0" fontId="4" fillId="0" borderId="0"/>
    <xf numFmtId="0" fontId="24" fillId="0" borderId="0">
      <alignment vertical="top"/>
    </xf>
    <xf numFmtId="0" fontId="56" fillId="0" borderId="0"/>
    <xf numFmtId="0" fontId="56" fillId="0" borderId="0"/>
    <xf numFmtId="0" fontId="56" fillId="0" borderId="0"/>
    <xf numFmtId="0" fontId="61" fillId="0" borderId="0"/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0" fontId="4" fillId="0" borderId="0"/>
    <xf numFmtId="0" fontId="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56" fillId="0" borderId="0"/>
    <xf numFmtId="0" fontId="56" fillId="0" borderId="0"/>
    <xf numFmtId="0" fontId="24" fillId="0" borderId="0">
      <alignment vertical="top"/>
    </xf>
    <xf numFmtId="0" fontId="56" fillId="0" borderId="0"/>
    <xf numFmtId="0" fontId="24" fillId="0" borderId="0">
      <alignment vertical="top"/>
    </xf>
    <xf numFmtId="0" fontId="4" fillId="0" borderId="0"/>
    <xf numFmtId="0" fontId="4" fillId="0" borderId="0"/>
    <xf numFmtId="0" fontId="1" fillId="0" borderId="0"/>
    <xf numFmtId="0" fontId="62" fillId="0" borderId="0"/>
    <xf numFmtId="0" fontId="62" fillId="0" borderId="0"/>
    <xf numFmtId="0" fontId="24" fillId="0" borderId="0">
      <alignment vertical="top"/>
    </xf>
    <xf numFmtId="0" fontId="24" fillId="0" borderId="0">
      <alignment vertical="top"/>
    </xf>
    <xf numFmtId="0" fontId="56" fillId="0" borderId="0"/>
    <xf numFmtId="0" fontId="62" fillId="0" borderId="0"/>
    <xf numFmtId="0" fontId="62" fillId="0" borderId="0"/>
    <xf numFmtId="0" fontId="42" fillId="0" borderId="0"/>
    <xf numFmtId="0" fontId="56" fillId="0" borderId="0"/>
    <xf numFmtId="0" fontId="56" fillId="0" borderId="0"/>
    <xf numFmtId="0" fontId="4" fillId="0" borderId="0"/>
    <xf numFmtId="0" fontId="1" fillId="0" borderId="0"/>
    <xf numFmtId="0" fontId="24" fillId="0" borderId="0">
      <alignment vertical="top"/>
    </xf>
    <xf numFmtId="0" fontId="56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24" fillId="0" borderId="0">
      <alignment vertical="top"/>
    </xf>
    <xf numFmtId="0" fontId="24" fillId="0" borderId="0">
      <alignment vertical="top"/>
    </xf>
    <xf numFmtId="0" fontId="62" fillId="0" borderId="0"/>
    <xf numFmtId="0" fontId="24" fillId="0" borderId="0">
      <alignment vertical="top"/>
    </xf>
    <xf numFmtId="0" fontId="62" fillId="0" borderId="0"/>
    <xf numFmtId="0" fontId="56" fillId="0" borderId="0"/>
    <xf numFmtId="0" fontId="56" fillId="0" borderId="0"/>
    <xf numFmtId="0" fontId="62" fillId="0" borderId="0"/>
    <xf numFmtId="0" fontId="56" fillId="0" borderId="0"/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" fillId="0" borderId="0"/>
    <xf numFmtId="0" fontId="24" fillId="0" borderId="0">
      <alignment vertical="top"/>
    </xf>
    <xf numFmtId="0" fontId="63" fillId="0" borderId="0"/>
    <xf numFmtId="0" fontId="24" fillId="0" borderId="0">
      <alignment vertical="top"/>
    </xf>
    <xf numFmtId="0" fontId="24" fillId="0" borderId="0">
      <alignment vertical="top"/>
    </xf>
    <xf numFmtId="0" fontId="58" fillId="0" borderId="0">
      <protection locked="0"/>
    </xf>
    <xf numFmtId="0" fontId="63" fillId="0" borderId="0"/>
    <xf numFmtId="0" fontId="1" fillId="10" borderId="39" applyNumberFormat="0" applyFont="0" applyAlignment="0" applyProtection="0"/>
    <xf numFmtId="0" fontId="1" fillId="10" borderId="39" applyNumberFormat="0" applyFont="0" applyAlignment="0" applyProtection="0"/>
    <xf numFmtId="0" fontId="42" fillId="10" borderId="39" applyNumberFormat="0" applyFont="0" applyAlignment="0" applyProtection="0"/>
    <xf numFmtId="0" fontId="4" fillId="57" borderId="45" applyNumberFormat="0" applyFont="0" applyAlignment="0" applyProtection="0"/>
    <xf numFmtId="0" fontId="49" fillId="40" borderId="46" applyNumberFormat="0" applyAlignment="0" applyProtection="0"/>
    <xf numFmtId="0" fontId="33" fillId="8" borderId="36" applyNumberFormat="0" applyAlignment="0" applyProtection="0"/>
    <xf numFmtId="0" fontId="33" fillId="8" borderId="36" applyNumberFormat="0" applyAlignment="0" applyProtection="0"/>
    <xf numFmtId="9" fontId="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47"/>
    <xf numFmtId="0" fontId="4" fillId="35" borderId="47"/>
    <xf numFmtId="0" fontId="4" fillId="0" borderId="48"/>
    <xf numFmtId="0" fontId="4" fillId="0" borderId="47"/>
    <xf numFmtId="0" fontId="4" fillId="0" borderId="0" applyFont="0" applyFill="0" applyBorder="0" applyAlignment="0" applyProtection="0"/>
    <xf numFmtId="0" fontId="4" fillId="35" borderId="47"/>
    <xf numFmtId="0" fontId="4" fillId="0" borderId="0" applyFont="0" applyFill="0" applyBorder="0" applyAlignment="0" applyProtection="0"/>
    <xf numFmtId="0" fontId="4" fillId="0" borderId="47"/>
    <xf numFmtId="0" fontId="4" fillId="35" borderId="47"/>
    <xf numFmtId="0" fontId="6" fillId="0" borderId="40" applyNumberFormat="0" applyFill="0" applyAlignment="0" applyProtection="0"/>
    <xf numFmtId="0" fontId="6" fillId="0" borderId="40" applyNumberFormat="0" applyFill="0" applyAlignment="0" applyProtection="0"/>
    <xf numFmtId="0" fontId="4" fillId="0" borderId="48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9" fillId="0" borderId="0"/>
    <xf numFmtId="44" fontId="4" fillId="0" borderId="0" applyFont="0" applyFill="0" applyBorder="0" applyAlignment="0" applyProtection="0"/>
    <xf numFmtId="0" fontId="39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>
      <alignment vertical="top"/>
    </xf>
  </cellStyleXfs>
  <cellXfs count="223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170" fontId="0" fillId="0" borderId="0" xfId="1" applyNumberFormat="1" applyFont="1" applyProtection="1"/>
    <xf numFmtId="0" fontId="0" fillId="0" borderId="49" xfId="0" applyBorder="1" applyProtection="1"/>
    <xf numFmtId="0" fontId="6" fillId="0" borderId="49" xfId="0" applyFont="1" applyFill="1" applyBorder="1" applyAlignment="1" applyProtection="1">
      <alignment horizontal="center"/>
    </xf>
    <xf numFmtId="3" fontId="0" fillId="0" borderId="25" xfId="1" applyNumberFormat="1" applyFont="1" applyFill="1" applyBorder="1" applyProtection="1"/>
    <xf numFmtId="178" fontId="0" fillId="3" borderId="57" xfId="0" applyNumberFormat="1" applyFill="1" applyBorder="1" applyProtection="1">
      <protection locked="0"/>
    </xf>
    <xf numFmtId="3" fontId="0" fillId="3" borderId="57" xfId="0" applyNumberFormat="1" applyFill="1" applyBorder="1" applyProtection="1">
      <protection locked="0"/>
    </xf>
    <xf numFmtId="178" fontId="0" fillId="3" borderId="57" xfId="0" applyNumberFormat="1" applyFill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 applyProtection="1">
      <alignment horizontal="center" vertical="center" wrapText="1"/>
    </xf>
    <xf numFmtId="0" fontId="6" fillId="61" borderId="26" xfId="0" applyFont="1" applyFill="1" applyBorder="1" applyAlignment="1" applyProtection="1">
      <alignment horizontal="center" vertical="center"/>
    </xf>
    <xf numFmtId="0" fontId="0" fillId="59" borderId="0" xfId="0" applyFill="1" applyProtection="1"/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59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6" fillId="0" borderId="0" xfId="0" applyFont="1" applyFill="1" applyBorder="1" applyAlignment="1" applyProtection="1">
      <alignment wrapText="1"/>
    </xf>
    <xf numFmtId="0" fontId="5" fillId="0" borderId="0" xfId="0" applyFont="1" applyFill="1" applyAlignment="1" applyProtection="1">
      <alignment horizontal="center"/>
    </xf>
    <xf numFmtId="170" fontId="0" fillId="0" borderId="0" xfId="0" applyNumberFormat="1" applyFill="1" applyBorder="1" applyProtection="1"/>
    <xf numFmtId="170" fontId="0" fillId="0" borderId="0" xfId="0" applyNumberFormat="1" applyProtection="1"/>
    <xf numFmtId="178" fontId="0" fillId="0" borderId="0" xfId="0" applyNumberFormat="1" applyProtection="1"/>
    <xf numFmtId="2" fontId="7" fillId="0" borderId="0" xfId="0" applyNumberFormat="1" applyFont="1" applyFill="1" applyBorder="1" applyProtection="1"/>
    <xf numFmtId="0" fontId="0" fillId="59" borderId="0" xfId="0" applyFont="1" applyFill="1" applyProtection="1"/>
    <xf numFmtId="0" fontId="16" fillId="0" borderId="0" xfId="0" applyFont="1" applyFill="1" applyProtection="1"/>
    <xf numFmtId="170" fontId="0" fillId="0" borderId="0" xfId="0" applyNumberFormat="1" applyFill="1" applyProtection="1"/>
    <xf numFmtId="0" fontId="14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4" fillId="59" borderId="0" xfId="0" applyFont="1" applyFill="1" applyAlignment="1" applyProtection="1">
      <alignment vertical="center"/>
    </xf>
    <xf numFmtId="170" fontId="0" fillId="0" borderId="1" xfId="1" applyNumberFormat="1" applyFont="1" applyBorder="1" applyAlignment="1" applyProtection="1">
      <alignment vertical="center"/>
    </xf>
    <xf numFmtId="0" fontId="65" fillId="62" borderId="53" xfId="0" applyFont="1" applyFill="1" applyBorder="1" applyAlignment="1" applyProtection="1">
      <alignment horizontal="center"/>
    </xf>
    <xf numFmtId="0" fontId="65" fillId="62" borderId="0" xfId="0" applyFont="1" applyFill="1" applyBorder="1" applyAlignment="1" applyProtection="1">
      <alignment horizontal="center"/>
    </xf>
    <xf numFmtId="0" fontId="66" fillId="63" borderId="0" xfId="0" applyFont="1" applyFill="1" applyBorder="1" applyAlignment="1" applyProtection="1">
      <alignment horizontal="center"/>
    </xf>
    <xf numFmtId="0" fontId="66" fillId="63" borderId="54" xfId="0" applyFont="1" applyFill="1" applyBorder="1" applyAlignment="1" applyProtection="1">
      <alignment horizontal="center"/>
    </xf>
    <xf numFmtId="0" fontId="16" fillId="0" borderId="0" xfId="0" applyFont="1"/>
    <xf numFmtId="0" fontId="0" fillId="0" borderId="0" xfId="0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0" fillId="59" borderId="0" xfId="0" applyFill="1" applyProtection="1">
      <protection hidden="1"/>
    </xf>
    <xf numFmtId="0" fontId="17" fillId="0" borderId="0" xfId="0" applyFont="1" applyFill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0" fontId="6" fillId="2" borderId="26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28" xfId="0" applyFill="1" applyBorder="1" applyProtection="1">
      <protection hidden="1"/>
    </xf>
    <xf numFmtId="0" fontId="13" fillId="0" borderId="13" xfId="0" applyFont="1" applyBorder="1" applyProtection="1">
      <protection hidden="1"/>
    </xf>
    <xf numFmtId="0" fontId="0" fillId="0" borderId="13" xfId="0" applyBorder="1" applyProtection="1">
      <protection hidden="1"/>
    </xf>
    <xf numFmtId="170" fontId="0" fillId="0" borderId="14" xfId="0" applyNumberFormat="1" applyBorder="1" applyProtection="1">
      <protection hidden="1"/>
    </xf>
    <xf numFmtId="172" fontId="0" fillId="0" borderId="13" xfId="2" applyNumberFormat="1" applyFont="1" applyBorder="1" applyProtection="1">
      <protection hidden="1"/>
    </xf>
    <xf numFmtId="172" fontId="0" fillId="2" borderId="15" xfId="2" applyNumberFormat="1" applyFont="1" applyFill="1" applyBorder="1" applyProtection="1">
      <protection hidden="1"/>
    </xf>
    <xf numFmtId="0" fontId="0" fillId="0" borderId="29" xfId="0" applyFill="1" applyBorder="1" applyProtection="1">
      <protection hidden="1"/>
    </xf>
    <xf numFmtId="0" fontId="13" fillId="0" borderId="11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0" xfId="0" applyBorder="1" applyProtection="1">
      <protection hidden="1"/>
    </xf>
    <xf numFmtId="172" fontId="0" fillId="0" borderId="11" xfId="2" applyNumberFormat="1" applyFont="1" applyBorder="1" applyProtection="1">
      <protection hidden="1"/>
    </xf>
    <xf numFmtId="172" fontId="0" fillId="2" borderId="20" xfId="2" applyNumberFormat="1" applyFont="1" applyFill="1" applyBorder="1" applyProtection="1">
      <protection hidden="1"/>
    </xf>
    <xf numFmtId="0" fontId="0" fillId="0" borderId="30" xfId="0" applyFill="1" applyBorder="1" applyProtection="1">
      <protection hidden="1"/>
    </xf>
    <xf numFmtId="0" fontId="13" fillId="0" borderId="3" xfId="0" applyFont="1" applyBorder="1" applyProtection="1">
      <protection hidden="1"/>
    </xf>
    <xf numFmtId="0" fontId="14" fillId="0" borderId="3" xfId="0" applyFont="1" applyBorder="1" applyProtection="1">
      <protection hidden="1"/>
    </xf>
    <xf numFmtId="170" fontId="0" fillId="0" borderId="2" xfId="0" applyNumberFormat="1" applyBorder="1" applyProtection="1">
      <protection hidden="1"/>
    </xf>
    <xf numFmtId="172" fontId="0" fillId="0" borderId="3" xfId="2" applyNumberFormat="1" applyFont="1" applyBorder="1" applyProtection="1">
      <protection hidden="1"/>
    </xf>
    <xf numFmtId="172" fontId="0" fillId="2" borderId="21" xfId="2" applyNumberFormat="1" applyFont="1" applyFill="1" applyBorder="1" applyProtection="1">
      <protection hidden="1"/>
    </xf>
    <xf numFmtId="0" fontId="0" fillId="0" borderId="27" xfId="0" applyFill="1" applyBorder="1" applyProtection="1">
      <protection hidden="1"/>
    </xf>
    <xf numFmtId="0" fontId="14" fillId="0" borderId="0" xfId="0" applyFont="1" applyBorder="1" applyProtection="1">
      <protection hidden="1"/>
    </xf>
    <xf numFmtId="0" fontId="0" fillId="0" borderId="0" xfId="0" applyFill="1" applyBorder="1" applyProtection="1">
      <protection hidden="1"/>
    </xf>
    <xf numFmtId="170" fontId="0" fillId="0" borderId="5" xfId="0" applyNumberFormat="1" applyBorder="1" applyProtection="1">
      <protection hidden="1"/>
    </xf>
    <xf numFmtId="172" fontId="0" fillId="0" borderId="0" xfId="2" applyNumberFormat="1" applyFont="1" applyBorder="1" applyProtection="1">
      <protection hidden="1"/>
    </xf>
    <xf numFmtId="172" fontId="0" fillId="2" borderId="16" xfId="2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10" fontId="0" fillId="0" borderId="5" xfId="3" applyNumberFormat="1" applyFont="1" applyBorder="1" applyProtection="1">
      <protection hidden="1"/>
    </xf>
    <xf numFmtId="0" fontId="0" fillId="0" borderId="31" xfId="0" applyFill="1" applyBorder="1" applyProtection="1">
      <protection hidden="1"/>
    </xf>
    <xf numFmtId="0" fontId="14" fillId="0" borderId="8" xfId="0" applyFont="1" applyBorder="1" applyProtection="1">
      <protection hidden="1"/>
    </xf>
    <xf numFmtId="0" fontId="0" fillId="0" borderId="8" xfId="0" applyBorder="1" applyProtection="1">
      <protection hidden="1"/>
    </xf>
    <xf numFmtId="0" fontId="0" fillId="0" borderId="7" xfId="0" applyBorder="1" applyProtection="1">
      <protection hidden="1"/>
    </xf>
    <xf numFmtId="172" fontId="0" fillId="0" borderId="8" xfId="2" applyNumberFormat="1" applyFont="1" applyBorder="1" applyProtection="1">
      <protection hidden="1"/>
    </xf>
    <xf numFmtId="172" fontId="0" fillId="2" borderId="22" xfId="2" applyNumberFormat="1" applyFont="1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2" xfId="0" applyBorder="1" applyProtection="1">
      <protection hidden="1"/>
    </xf>
    <xf numFmtId="0" fontId="15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5" xfId="0" applyBorder="1" applyProtection="1">
      <protection hidden="1"/>
    </xf>
    <xf numFmtId="0" fontId="15" fillId="0" borderId="5" xfId="0" applyFont="1" applyBorder="1" applyProtection="1">
      <protection hidden="1"/>
    </xf>
    <xf numFmtId="0" fontId="0" fillId="0" borderId="0" xfId="0" applyFont="1" applyFill="1" applyBorder="1" applyProtection="1">
      <protection hidden="1"/>
    </xf>
    <xf numFmtId="44" fontId="0" fillId="0" borderId="0" xfId="2" applyNumberFormat="1" applyFont="1" applyBorder="1" applyProtection="1">
      <protection hidden="1"/>
    </xf>
    <xf numFmtId="0" fontId="16" fillId="0" borderId="30" xfId="0" applyFont="1" applyFill="1" applyBorder="1" applyProtection="1">
      <protection hidden="1"/>
    </xf>
    <xf numFmtId="172" fontId="0" fillId="0" borderId="0" xfId="2" applyNumberFormat="1" applyFont="1" applyFill="1" applyBorder="1" applyProtection="1">
      <protection hidden="1"/>
    </xf>
    <xf numFmtId="171" fontId="0" fillId="0" borderId="7" xfId="1" applyNumberFormat="1" applyFont="1" applyBorder="1" applyProtection="1">
      <protection hidden="1"/>
    </xf>
    <xf numFmtId="173" fontId="0" fillId="0" borderId="5" xfId="0" applyNumberFormat="1" applyBorder="1" applyProtection="1">
      <protection hidden="1"/>
    </xf>
    <xf numFmtId="179" fontId="0" fillId="0" borderId="5" xfId="0" applyNumberFormat="1" applyBorder="1" applyProtection="1">
      <protection hidden="1"/>
    </xf>
    <xf numFmtId="0" fontId="13" fillId="0" borderId="2" xfId="0" applyFont="1" applyBorder="1" applyProtection="1">
      <protection hidden="1"/>
    </xf>
    <xf numFmtId="0" fontId="0" fillId="0" borderId="4" xfId="0" applyBorder="1" applyProtection="1">
      <protection hidden="1"/>
    </xf>
    <xf numFmtId="0" fontId="14" fillId="0" borderId="5" xfId="0" applyFont="1" applyBorder="1" applyProtection="1">
      <protection hidden="1"/>
    </xf>
    <xf numFmtId="0" fontId="0" fillId="0" borderId="6" xfId="0" applyBorder="1" applyProtection="1">
      <protection hidden="1"/>
    </xf>
    <xf numFmtId="181" fontId="0" fillId="0" borderId="0" xfId="2" applyNumberFormat="1" applyFont="1" applyBorder="1" applyProtection="1">
      <protection hidden="1"/>
    </xf>
    <xf numFmtId="0" fontId="0" fillId="0" borderId="50" xfId="0" applyFill="1" applyBorder="1" applyProtection="1">
      <protection hidden="1"/>
    </xf>
    <xf numFmtId="0" fontId="16" fillId="0" borderId="27" xfId="0" applyFont="1" applyFill="1" applyBorder="1" applyProtection="1">
      <protection hidden="1"/>
    </xf>
    <xf numFmtId="0" fontId="13" fillId="0" borderId="0" xfId="0" applyFont="1" applyBorder="1" applyProtection="1">
      <protection hidden="1"/>
    </xf>
    <xf numFmtId="10" fontId="0" fillId="0" borderId="5" xfId="0" applyNumberFormat="1" applyBorder="1" applyProtection="1">
      <protection hidden="1"/>
    </xf>
    <xf numFmtId="1" fontId="0" fillId="0" borderId="5" xfId="0" applyNumberFormat="1" applyBorder="1" applyProtection="1">
      <protection hidden="1"/>
    </xf>
    <xf numFmtId="172" fontId="0" fillId="0" borderId="0" xfId="0" applyNumberFormat="1" applyFill="1" applyProtection="1">
      <protection hidden="1"/>
    </xf>
    <xf numFmtId="0" fontId="0" fillId="0" borderId="6" xfId="0" applyFill="1" applyBorder="1" applyProtection="1">
      <protection hidden="1"/>
    </xf>
    <xf numFmtId="3" fontId="0" fillId="0" borderId="5" xfId="0" applyNumberFormat="1" applyBorder="1" applyProtection="1">
      <protection hidden="1"/>
    </xf>
    <xf numFmtId="0" fontId="0" fillId="0" borderId="9" xfId="0" applyFill="1" applyBorder="1" applyProtection="1">
      <protection hidden="1"/>
    </xf>
    <xf numFmtId="0" fontId="13" fillId="0" borderId="8" xfId="0" applyFont="1" applyBorder="1" applyProtection="1">
      <protection hidden="1"/>
    </xf>
    <xf numFmtId="0" fontId="13" fillId="0" borderId="51" xfId="0" applyFont="1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172" fontId="0" fillId="0" borderId="17" xfId="2" applyNumberFormat="1" applyFont="1" applyBorder="1" applyProtection="1">
      <protection hidden="1"/>
    </xf>
    <xf numFmtId="172" fontId="0" fillId="2" borderId="19" xfId="2" applyNumberFormat="1" applyFont="1" applyFill="1" applyBorder="1" applyProtection="1">
      <protection hidden="1"/>
    </xf>
    <xf numFmtId="0" fontId="67" fillId="0" borderId="0" xfId="0" applyFont="1" applyAlignment="1" applyProtection="1">
      <protection hidden="1"/>
    </xf>
    <xf numFmtId="0" fontId="0" fillId="0" borderId="52" xfId="0" applyFill="1" applyBorder="1" applyProtection="1">
      <protection hidden="1"/>
    </xf>
    <xf numFmtId="0" fontId="8" fillId="2" borderId="12" xfId="0" applyFont="1" applyFill="1" applyBorder="1" applyProtection="1">
      <protection hidden="1"/>
    </xf>
    <xf numFmtId="0" fontId="9" fillId="2" borderId="12" xfId="0" applyFont="1" applyFill="1" applyBorder="1" applyProtection="1">
      <protection hidden="1"/>
    </xf>
    <xf numFmtId="0" fontId="9" fillId="2" borderId="23" xfId="0" applyFont="1" applyFill="1" applyBorder="1" applyProtection="1">
      <protection hidden="1"/>
    </xf>
    <xf numFmtId="172" fontId="9" fillId="2" borderId="12" xfId="2" applyNumberFormat="1" applyFont="1" applyFill="1" applyBorder="1" applyProtection="1">
      <protection hidden="1"/>
    </xf>
    <xf numFmtId="172" fontId="10" fillId="2" borderId="24" xfId="2" applyNumberFormat="1" applyFont="1" applyFill="1" applyBorder="1" applyProtection="1">
      <protection hidden="1"/>
    </xf>
    <xf numFmtId="0" fontId="0" fillId="0" borderId="0" xfId="0" applyFont="1" applyProtection="1">
      <protection hidden="1"/>
    </xf>
    <xf numFmtId="0" fontId="0" fillId="59" borderId="0" xfId="0" applyFont="1" applyFill="1" applyProtection="1">
      <protection hidden="1"/>
    </xf>
    <xf numFmtId="0" fontId="38" fillId="0" borderId="0" xfId="0" applyFont="1" applyProtection="1">
      <protection hidden="1"/>
    </xf>
    <xf numFmtId="0" fontId="38" fillId="0" borderId="0" xfId="0" applyFont="1" applyFill="1" applyProtection="1">
      <protection hidden="1"/>
    </xf>
    <xf numFmtId="0" fontId="38" fillId="64" borderId="0" xfId="0" applyFont="1" applyFill="1" applyProtection="1">
      <protection hidden="1"/>
    </xf>
    <xf numFmtId="37" fontId="38" fillId="64" borderId="0" xfId="0" applyNumberFormat="1" applyFont="1" applyFill="1" applyBorder="1" applyProtection="1">
      <protection hidden="1"/>
    </xf>
    <xf numFmtId="0" fontId="0" fillId="64" borderId="0" xfId="0" applyFont="1" applyFill="1" applyProtection="1">
      <protection hidden="1"/>
    </xf>
    <xf numFmtId="0" fontId="0" fillId="64" borderId="0" xfId="0" applyFont="1" applyFill="1" applyBorder="1" applyProtection="1">
      <protection hidden="1"/>
    </xf>
    <xf numFmtId="0" fontId="0" fillId="0" borderId="85" xfId="0" applyBorder="1" applyProtection="1">
      <protection hidden="1"/>
    </xf>
    <xf numFmtId="0" fontId="64" fillId="0" borderId="8" xfId="0" applyFont="1" applyBorder="1" applyProtection="1">
      <protection hidden="1"/>
    </xf>
    <xf numFmtId="3" fontId="38" fillId="0" borderId="0" xfId="0" applyNumberFormat="1" applyFont="1" applyProtection="1">
      <protection hidden="1"/>
    </xf>
    <xf numFmtId="3" fontId="38" fillId="0" borderId="0" xfId="0" applyNumberFormat="1" applyFont="1" applyFill="1" applyProtection="1">
      <protection hidden="1"/>
    </xf>
    <xf numFmtId="0" fontId="72" fillId="0" borderId="0" xfId="0" applyFont="1" applyProtection="1">
      <protection hidden="1"/>
    </xf>
    <xf numFmtId="0" fontId="72" fillId="0" borderId="0" xfId="0" applyFont="1" applyAlignment="1" applyProtection="1">
      <alignment horizontal="center"/>
      <protection hidden="1"/>
    </xf>
    <xf numFmtId="0" fontId="73" fillId="2" borderId="68" xfId="0" applyFont="1" applyFill="1" applyBorder="1" applyAlignment="1" applyProtection="1">
      <alignment horizontal="center" vertical="center" wrapText="1"/>
      <protection hidden="1"/>
    </xf>
    <xf numFmtId="0" fontId="73" fillId="2" borderId="69" xfId="0" applyFont="1" applyFill="1" applyBorder="1" applyAlignment="1" applyProtection="1">
      <alignment horizontal="center" vertical="center" wrapText="1"/>
      <protection hidden="1"/>
    </xf>
    <xf numFmtId="0" fontId="73" fillId="2" borderId="70" xfId="0" applyFont="1" applyFill="1" applyBorder="1" applyAlignment="1" applyProtection="1">
      <alignment horizontal="center" vertical="center" wrapText="1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4" fontId="72" fillId="0" borderId="71" xfId="0" applyNumberFormat="1" applyFont="1" applyFill="1" applyBorder="1" applyAlignment="1" applyProtection="1">
      <alignment horizontal="left" vertical="center"/>
      <protection hidden="1"/>
    </xf>
    <xf numFmtId="1" fontId="72" fillId="0" borderId="67" xfId="0" applyNumberFormat="1" applyFont="1" applyFill="1" applyBorder="1" applyAlignment="1" applyProtection="1">
      <alignment horizontal="center" vertical="center"/>
      <protection hidden="1"/>
    </xf>
    <xf numFmtId="0" fontId="72" fillId="0" borderId="67" xfId="0" applyNumberFormat="1" applyFont="1" applyBorder="1" applyAlignment="1" applyProtection="1">
      <alignment horizontal="left"/>
      <protection hidden="1"/>
    </xf>
    <xf numFmtId="0" fontId="72" fillId="0" borderId="67" xfId="0" applyFont="1" applyBorder="1" applyAlignment="1" applyProtection="1">
      <alignment horizontal="center"/>
      <protection hidden="1"/>
    </xf>
    <xf numFmtId="0" fontId="72" fillId="0" borderId="67" xfId="0" applyFont="1" applyBorder="1" applyProtection="1">
      <protection hidden="1"/>
    </xf>
    <xf numFmtId="3" fontId="72" fillId="0" borderId="67" xfId="0" applyNumberFormat="1" applyFont="1" applyBorder="1" applyProtection="1">
      <protection hidden="1"/>
    </xf>
    <xf numFmtId="179" fontId="72" fillId="0" borderId="67" xfId="0" applyNumberFormat="1" applyFont="1" applyBorder="1" applyProtection="1">
      <protection hidden="1"/>
    </xf>
    <xf numFmtId="173" fontId="72" fillId="0" borderId="67" xfId="0" applyNumberFormat="1" applyFont="1" applyBorder="1" applyProtection="1">
      <protection hidden="1"/>
    </xf>
    <xf numFmtId="180" fontId="72" fillId="0" borderId="72" xfId="0" applyNumberFormat="1" applyFont="1" applyBorder="1" applyProtection="1">
      <protection hidden="1"/>
    </xf>
    <xf numFmtId="0" fontId="72" fillId="0" borderId="67" xfId="0" applyFont="1" applyFill="1" applyBorder="1" applyAlignment="1" applyProtection="1">
      <alignment horizontal="center"/>
      <protection hidden="1"/>
    </xf>
    <xf numFmtId="3" fontId="72" fillId="0" borderId="71" xfId="0" applyNumberFormat="1" applyFont="1" applyFill="1" applyBorder="1" applyAlignment="1" applyProtection="1">
      <alignment horizontal="left"/>
      <protection hidden="1"/>
    </xf>
    <xf numFmtId="1" fontId="72" fillId="0" borderId="67" xfId="0" applyNumberFormat="1" applyFont="1" applyFill="1" applyBorder="1" applyAlignment="1" applyProtection="1">
      <alignment horizontal="center"/>
      <protection hidden="1"/>
    </xf>
    <xf numFmtId="1" fontId="72" fillId="0" borderId="67" xfId="0" quotePrefix="1" applyNumberFormat="1" applyFont="1" applyFill="1" applyBorder="1" applyAlignment="1" applyProtection="1">
      <alignment horizontal="center" vertical="center"/>
      <protection hidden="1"/>
    </xf>
    <xf numFmtId="1" fontId="72" fillId="0" borderId="67" xfId="0" applyNumberFormat="1" applyFont="1" applyBorder="1" applyAlignment="1" applyProtection="1">
      <alignment horizontal="center"/>
      <protection hidden="1"/>
    </xf>
    <xf numFmtId="1" fontId="72" fillId="0" borderId="67" xfId="0" applyNumberFormat="1" applyFont="1" applyBorder="1" applyProtection="1">
      <protection hidden="1"/>
    </xf>
    <xf numFmtId="4" fontId="72" fillId="0" borderId="82" xfId="0" applyNumberFormat="1" applyFont="1" applyFill="1" applyBorder="1" applyAlignment="1" applyProtection="1">
      <alignment horizontal="left" vertical="center"/>
      <protection hidden="1"/>
    </xf>
    <xf numFmtId="1" fontId="72" fillId="0" borderId="83" xfId="0" applyNumberFormat="1" applyFont="1" applyFill="1" applyBorder="1" applyAlignment="1" applyProtection="1">
      <alignment horizontal="center" vertical="center"/>
      <protection hidden="1"/>
    </xf>
    <xf numFmtId="0" fontId="72" fillId="0" borderId="83" xfId="0" applyNumberFormat="1" applyFont="1" applyBorder="1" applyAlignment="1" applyProtection="1">
      <alignment horizontal="left"/>
      <protection hidden="1"/>
    </xf>
    <xf numFmtId="0" fontId="72" fillId="0" borderId="83" xfId="0" applyFont="1" applyBorder="1" applyAlignment="1" applyProtection="1">
      <alignment horizontal="center"/>
      <protection hidden="1"/>
    </xf>
    <xf numFmtId="0" fontId="72" fillId="0" borderId="83" xfId="0" applyFont="1" applyBorder="1" applyProtection="1">
      <protection hidden="1"/>
    </xf>
    <xf numFmtId="3" fontId="72" fillId="0" borderId="83" xfId="0" applyNumberFormat="1" applyFont="1" applyBorder="1" applyProtection="1">
      <protection hidden="1"/>
    </xf>
    <xf numFmtId="179" fontId="72" fillId="0" borderId="83" xfId="0" applyNumberFormat="1" applyFont="1" applyBorder="1" applyProtection="1">
      <protection hidden="1"/>
    </xf>
    <xf numFmtId="173" fontId="72" fillId="0" borderId="83" xfId="0" applyNumberFormat="1" applyFont="1" applyBorder="1" applyProtection="1">
      <protection hidden="1"/>
    </xf>
    <xf numFmtId="180" fontId="72" fillId="0" borderId="84" xfId="0" applyNumberFormat="1" applyFont="1" applyBorder="1" applyProtection="1">
      <protection hidden="1"/>
    </xf>
    <xf numFmtId="4" fontId="72" fillId="0" borderId="73" xfId="0" applyNumberFormat="1" applyFont="1" applyFill="1" applyBorder="1" applyAlignment="1" applyProtection="1">
      <alignment horizontal="left" vertical="center"/>
      <protection hidden="1"/>
    </xf>
    <xf numFmtId="1" fontId="72" fillId="0" borderId="74" xfId="0" applyNumberFormat="1" applyFont="1" applyFill="1" applyBorder="1" applyAlignment="1" applyProtection="1">
      <alignment horizontal="center" vertical="center"/>
      <protection hidden="1"/>
    </xf>
    <xf numFmtId="0" fontId="72" fillId="0" borderId="74" xfId="0" applyNumberFormat="1" applyFont="1" applyBorder="1" applyAlignment="1" applyProtection="1">
      <alignment horizontal="left"/>
      <protection hidden="1"/>
    </xf>
    <xf numFmtId="0" fontId="72" fillId="0" borderId="74" xfId="0" applyFont="1" applyBorder="1" applyAlignment="1" applyProtection="1">
      <alignment horizontal="center"/>
      <protection hidden="1"/>
    </xf>
    <xf numFmtId="0" fontId="72" fillId="0" borderId="74" xfId="0" applyFont="1" applyBorder="1" applyProtection="1">
      <protection hidden="1"/>
    </xf>
    <xf numFmtId="3" fontId="72" fillId="0" borderId="74" xfId="0" applyNumberFormat="1" applyFont="1" applyBorder="1" applyProtection="1">
      <protection hidden="1"/>
    </xf>
    <xf numFmtId="179" fontId="72" fillId="0" borderId="74" xfId="0" applyNumberFormat="1" applyFont="1" applyBorder="1" applyProtection="1">
      <protection hidden="1"/>
    </xf>
    <xf numFmtId="173" fontId="72" fillId="0" borderId="74" xfId="0" applyNumberFormat="1" applyFont="1" applyBorder="1" applyProtection="1">
      <protection hidden="1"/>
    </xf>
    <xf numFmtId="180" fontId="72" fillId="0" borderId="75" xfId="0" applyNumberFormat="1" applyFont="1" applyBorder="1" applyProtection="1">
      <protection hidden="1"/>
    </xf>
    <xf numFmtId="0" fontId="74" fillId="0" borderId="63" xfId="0" applyFont="1" applyBorder="1" applyProtection="1">
      <protection hidden="1"/>
    </xf>
    <xf numFmtId="0" fontId="38" fillId="0" borderId="64" xfId="0" applyFont="1" applyBorder="1" applyProtection="1">
      <protection hidden="1"/>
    </xf>
    <xf numFmtId="0" fontId="38" fillId="0" borderId="63" xfId="0" applyFont="1" applyBorder="1" applyProtection="1">
      <protection hidden="1"/>
    </xf>
    <xf numFmtId="0" fontId="75" fillId="0" borderId="64" xfId="0" applyFont="1" applyBorder="1" applyAlignment="1" applyProtection="1">
      <alignment horizontal="center"/>
      <protection hidden="1"/>
    </xf>
    <xf numFmtId="0" fontId="64" fillId="0" borderId="0" xfId="0" applyFont="1" applyProtection="1">
      <protection hidden="1"/>
    </xf>
    <xf numFmtId="0" fontId="38" fillId="0" borderId="64" xfId="0" applyFont="1" applyFill="1" applyBorder="1" applyProtection="1">
      <protection hidden="1"/>
    </xf>
    <xf numFmtId="0" fontId="38" fillId="0" borderId="63" xfId="0" applyFont="1" applyBorder="1" applyAlignment="1" applyProtection="1">
      <alignment horizontal="right"/>
      <protection hidden="1"/>
    </xf>
    <xf numFmtId="167" fontId="38" fillId="0" borderId="64" xfId="0" applyNumberFormat="1" applyFont="1" applyFill="1" applyBorder="1" applyProtection="1">
      <protection hidden="1"/>
    </xf>
    <xf numFmtId="10" fontId="38" fillId="0" borderId="64" xfId="0" applyNumberFormat="1" applyFont="1" applyFill="1" applyBorder="1" applyProtection="1">
      <protection hidden="1"/>
    </xf>
    <xf numFmtId="9" fontId="38" fillId="0" borderId="64" xfId="0" applyNumberFormat="1" applyFont="1" applyFill="1" applyBorder="1" applyProtection="1">
      <protection hidden="1"/>
    </xf>
    <xf numFmtId="9" fontId="38" fillId="0" borderId="64" xfId="3" applyFont="1" applyFill="1" applyBorder="1" applyProtection="1">
      <protection hidden="1"/>
    </xf>
    <xf numFmtId="168" fontId="38" fillId="0" borderId="64" xfId="0" applyNumberFormat="1" applyFont="1" applyFill="1" applyBorder="1" applyProtection="1">
      <protection hidden="1"/>
    </xf>
    <xf numFmtId="44" fontId="38" fillId="60" borderId="64" xfId="2" applyFont="1" applyFill="1" applyBorder="1" applyProtection="1">
      <protection hidden="1"/>
    </xf>
    <xf numFmtId="169" fontId="38" fillId="0" borderId="64" xfId="0" applyNumberFormat="1" applyFont="1" applyFill="1" applyBorder="1" applyProtection="1">
      <protection hidden="1"/>
    </xf>
    <xf numFmtId="0" fontId="38" fillId="0" borderId="0" xfId="0" applyFont="1" applyBorder="1" applyProtection="1">
      <protection hidden="1"/>
    </xf>
    <xf numFmtId="0" fontId="38" fillId="0" borderId="63" xfId="0" applyFont="1" applyFill="1" applyBorder="1" applyAlignment="1" applyProtection="1">
      <alignment horizontal="right"/>
      <protection hidden="1"/>
    </xf>
    <xf numFmtId="174" fontId="38" fillId="0" borderId="64" xfId="1" applyNumberFormat="1" applyFont="1" applyFill="1" applyBorder="1" applyAlignment="1" applyProtection="1">
      <alignment horizontal="left"/>
      <protection hidden="1"/>
    </xf>
    <xf numFmtId="172" fontId="38" fillId="0" borderId="64" xfId="2" applyNumberFormat="1" applyFont="1" applyFill="1" applyBorder="1" applyAlignment="1" applyProtection="1">
      <alignment horizontal="left"/>
      <protection hidden="1"/>
    </xf>
    <xf numFmtId="167" fontId="38" fillId="60" borderId="64" xfId="0" applyNumberFormat="1" applyFont="1" applyFill="1" applyBorder="1" applyProtection="1">
      <protection hidden="1"/>
    </xf>
    <xf numFmtId="0" fontId="38" fillId="60" borderId="64" xfId="0" applyFont="1" applyFill="1" applyBorder="1" applyProtection="1">
      <protection hidden="1"/>
    </xf>
    <xf numFmtId="172" fontId="38" fillId="0" borderId="64" xfId="2" applyNumberFormat="1" applyFont="1" applyFill="1" applyBorder="1" applyProtection="1">
      <protection hidden="1"/>
    </xf>
    <xf numFmtId="10" fontId="38" fillId="60" borderId="64" xfId="0" applyNumberFormat="1" applyFont="1" applyFill="1" applyBorder="1" applyProtection="1">
      <protection hidden="1"/>
    </xf>
    <xf numFmtId="0" fontId="38" fillId="0" borderId="64" xfId="0" applyNumberFormat="1" applyFont="1" applyFill="1" applyBorder="1" applyProtection="1">
      <protection hidden="1"/>
    </xf>
    <xf numFmtId="0" fontId="38" fillId="0" borderId="65" xfId="0" applyFont="1" applyFill="1" applyBorder="1" applyAlignment="1" applyProtection="1">
      <alignment horizontal="right"/>
      <protection hidden="1"/>
    </xf>
    <xf numFmtId="169" fontId="38" fillId="0" borderId="66" xfId="0" applyNumberFormat="1" applyFont="1" applyFill="1" applyBorder="1" applyProtection="1">
      <protection hidden="1"/>
    </xf>
    <xf numFmtId="0" fontId="69" fillId="63" borderId="79" xfId="0" applyFont="1" applyFill="1" applyBorder="1" applyAlignment="1" applyProtection="1">
      <alignment horizontal="center" vertical="center"/>
    </xf>
    <xf numFmtId="0" fontId="69" fillId="63" borderId="80" xfId="0" applyFont="1" applyFill="1" applyBorder="1" applyAlignment="1" applyProtection="1">
      <alignment horizontal="center" vertical="center"/>
    </xf>
    <xf numFmtId="0" fontId="69" fillId="63" borderId="81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left" wrapText="1"/>
    </xf>
    <xf numFmtId="0" fontId="6" fillId="0" borderId="49" xfId="0" applyFont="1" applyFill="1" applyBorder="1" applyAlignment="1" applyProtection="1">
      <alignment horizontal="center" vertical="center"/>
    </xf>
    <xf numFmtId="0" fontId="11" fillId="3" borderId="76" xfId="0" applyFont="1" applyFill="1" applyBorder="1" applyAlignment="1" applyProtection="1">
      <alignment horizontal="center"/>
    </xf>
    <xf numFmtId="0" fontId="11" fillId="3" borderId="77" xfId="0" applyFont="1" applyFill="1" applyBorder="1" applyAlignment="1" applyProtection="1">
      <alignment horizontal="center"/>
    </xf>
    <xf numFmtId="0" fontId="11" fillId="3" borderId="78" xfId="0" applyFont="1" applyFill="1" applyBorder="1" applyAlignment="1" applyProtection="1">
      <alignment horizontal="center"/>
    </xf>
    <xf numFmtId="0" fontId="17" fillId="58" borderId="58" xfId="0" applyFont="1" applyFill="1" applyBorder="1" applyAlignment="1" applyProtection="1">
      <alignment horizontal="center" vertical="center"/>
    </xf>
    <xf numFmtId="0" fontId="17" fillId="58" borderId="59" xfId="0" applyFont="1" applyFill="1" applyBorder="1" applyAlignment="1" applyProtection="1">
      <alignment horizontal="center" vertical="center"/>
    </xf>
    <xf numFmtId="0" fontId="17" fillId="58" borderId="60" xfId="0" applyFont="1" applyFill="1" applyBorder="1" applyAlignment="1" applyProtection="1">
      <alignment horizontal="center" vertical="center"/>
    </xf>
    <xf numFmtId="0" fontId="71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left"/>
      <protection hidden="1"/>
    </xf>
    <xf numFmtId="0" fontId="74" fillId="0" borderId="63" xfId="0" applyFont="1" applyBorder="1" applyAlignment="1" applyProtection="1">
      <alignment horizontal="center"/>
      <protection hidden="1"/>
    </xf>
    <xf numFmtId="0" fontId="74" fillId="0" borderId="64" xfId="0" applyFont="1" applyBorder="1" applyAlignment="1" applyProtection="1">
      <alignment horizontal="center"/>
      <protection hidden="1"/>
    </xf>
    <xf numFmtId="0" fontId="74" fillId="0" borderId="61" xfId="0" applyFont="1" applyBorder="1" applyAlignment="1" applyProtection="1">
      <alignment horizontal="center"/>
      <protection hidden="1"/>
    </xf>
    <xf numFmtId="0" fontId="74" fillId="0" borderId="62" xfId="0" applyFont="1" applyBorder="1" applyAlignment="1" applyProtection="1">
      <alignment horizontal="center"/>
      <protection hidden="1"/>
    </xf>
    <xf numFmtId="0" fontId="64" fillId="0" borderId="63" xfId="0" applyFont="1" applyBorder="1" applyAlignment="1" applyProtection="1">
      <alignment horizontal="left"/>
      <protection hidden="1"/>
    </xf>
    <xf numFmtId="0" fontId="64" fillId="0" borderId="64" xfId="0" applyFont="1" applyBorder="1" applyAlignment="1" applyProtection="1">
      <alignment horizontal="left"/>
      <protection hidden="1"/>
    </xf>
  </cellXfs>
  <cellStyles count="627">
    <cellStyle name="20% - Accent1" xfId="53" builtinId="30" customBuiltin="1"/>
    <cellStyle name="20% - Accent1 2" xfId="87"/>
    <cellStyle name="20% - Accent1 2 2" xfId="88"/>
    <cellStyle name="20% - Accent1 3" xfId="89"/>
    <cellStyle name="20% - Accent1 4" xfId="90"/>
    <cellStyle name="20% - Accent2" xfId="57" builtinId="34" customBuiltin="1"/>
    <cellStyle name="20% - Accent2 2" xfId="91"/>
    <cellStyle name="20% - Accent2 2 2" xfId="92"/>
    <cellStyle name="20% - Accent2 3" xfId="93"/>
    <cellStyle name="20% - Accent2 4" xfId="94"/>
    <cellStyle name="20% - Accent3" xfId="61" builtinId="38" customBuiltin="1"/>
    <cellStyle name="20% - Accent3 2" xfId="95"/>
    <cellStyle name="20% - Accent3 2 2" xfId="96"/>
    <cellStyle name="20% - Accent3 3" xfId="97"/>
    <cellStyle name="20% - Accent3 4" xfId="98"/>
    <cellStyle name="20% - Accent4" xfId="65" builtinId="42" customBuiltin="1"/>
    <cellStyle name="20% - Accent4 2" xfId="99"/>
    <cellStyle name="20% - Accent4 2 2" xfId="100"/>
    <cellStyle name="20% - Accent4 3" xfId="101"/>
    <cellStyle name="20% - Accent4 3 2" xfId="102"/>
    <cellStyle name="20% - Accent4 3 3" xfId="103"/>
    <cellStyle name="20% - Accent4 4" xfId="104"/>
    <cellStyle name="20% - Accent5" xfId="69" builtinId="46" customBuiltin="1"/>
    <cellStyle name="20% - Accent5 2" xfId="105"/>
    <cellStyle name="20% - Accent5 2 2" xfId="106"/>
    <cellStyle name="20% - Accent5 3" xfId="107"/>
    <cellStyle name="20% - Accent5 4" xfId="108"/>
    <cellStyle name="20% - Accent6" xfId="73" builtinId="50" customBuiltin="1"/>
    <cellStyle name="20% - Accent6 2" xfId="109"/>
    <cellStyle name="20% - Accent6 2 2" xfId="110"/>
    <cellStyle name="20% - Accent6 2 3" xfId="111"/>
    <cellStyle name="20% - Accent6 3" xfId="112"/>
    <cellStyle name="20% - Accent6 4" xfId="113"/>
    <cellStyle name="40% - Accent1" xfId="54" builtinId="31" customBuiltin="1"/>
    <cellStyle name="40% - Accent1 2" xfId="114"/>
    <cellStyle name="40% - Accent1 2 2" xfId="115"/>
    <cellStyle name="40% - Accent1 3" xfId="116"/>
    <cellStyle name="40% - Accent1 4" xfId="117"/>
    <cellStyle name="40% - Accent2" xfId="58" builtinId="35" customBuiltin="1"/>
    <cellStyle name="40% - Accent2 2" xfId="118"/>
    <cellStyle name="40% - Accent2 2 2" xfId="119"/>
    <cellStyle name="40% - Accent2 3" xfId="120"/>
    <cellStyle name="40% - Accent2 4" xfId="121"/>
    <cellStyle name="40% - Accent3" xfId="62" builtinId="39" customBuiltin="1"/>
    <cellStyle name="40% - Accent3 2" xfId="122"/>
    <cellStyle name="40% - Accent3 2 2" xfId="123"/>
    <cellStyle name="40% - Accent3 3" xfId="124"/>
    <cellStyle name="40% - Accent3 4" xfId="125"/>
    <cellStyle name="40% - Accent4" xfId="66" builtinId="43" customBuiltin="1"/>
    <cellStyle name="40% - Accent4 2" xfId="126"/>
    <cellStyle name="40% - Accent4 2 2" xfId="127"/>
    <cellStyle name="40% - Accent4 3" xfId="128"/>
    <cellStyle name="40% - Accent4 4" xfId="129"/>
    <cellStyle name="40% - Accent5" xfId="70" builtinId="47" customBuiltin="1"/>
    <cellStyle name="40% - Accent5 2" xfId="130"/>
    <cellStyle name="40% - Accent5 2 2" xfId="131"/>
    <cellStyle name="40% - Accent5 3" xfId="132"/>
    <cellStyle name="40% - Accent5 4" xfId="133"/>
    <cellStyle name="40% - Accent6" xfId="74" builtinId="51" customBuiltin="1"/>
    <cellStyle name="40% - Accent6 2" xfId="134"/>
    <cellStyle name="40% - Accent6 2 2" xfId="135"/>
    <cellStyle name="40% - Accent6 3" xfId="136"/>
    <cellStyle name="40% - Accent6 4" xfId="137"/>
    <cellStyle name="60% - Accent1" xfId="55" builtinId="32" customBuiltin="1"/>
    <cellStyle name="60% - Accent1 2" xfId="138"/>
    <cellStyle name="60% - Accent1 2 2" xfId="139"/>
    <cellStyle name="60% - Accent1 3" xfId="140"/>
    <cellStyle name="60% - Accent1 4" xfId="141"/>
    <cellStyle name="60% - Accent2" xfId="59" builtinId="36" customBuiltin="1"/>
    <cellStyle name="60% - Accent2 2" xfId="142"/>
    <cellStyle name="60% - Accent2 2 2" xfId="143"/>
    <cellStyle name="60% - Accent2 3" xfId="144"/>
    <cellStyle name="60% - Accent2 4" xfId="145"/>
    <cellStyle name="60% - Accent3" xfId="63" builtinId="40" customBuiltin="1"/>
    <cellStyle name="60% - Accent3 2" xfId="146"/>
    <cellStyle name="60% - Accent3 2 2" xfId="147"/>
    <cellStyle name="60% - Accent3 3" xfId="148"/>
    <cellStyle name="60% - Accent3 4" xfId="149"/>
    <cellStyle name="60% - Accent4" xfId="67" builtinId="44" customBuiltin="1"/>
    <cellStyle name="60% - Accent4 2" xfId="150"/>
    <cellStyle name="60% - Accent4 2 2" xfId="151"/>
    <cellStyle name="60% - Accent4 3" xfId="152"/>
    <cellStyle name="60% - Accent4 4" xfId="153"/>
    <cellStyle name="60% - Accent5" xfId="71" builtinId="48" customBuiltin="1"/>
    <cellStyle name="60% - Accent5 2" xfId="154"/>
    <cellStyle name="60% - Accent5 2 2" xfId="155"/>
    <cellStyle name="60% - Accent5 3" xfId="156"/>
    <cellStyle name="60% - Accent5 4" xfId="157"/>
    <cellStyle name="60% - Accent6" xfId="75" builtinId="52" customBuiltin="1"/>
    <cellStyle name="60% - Accent6 2" xfId="158"/>
    <cellStyle name="60% - Accent6 2 2" xfId="159"/>
    <cellStyle name="60% - Accent6 3" xfId="160"/>
    <cellStyle name="60% - Accent6 4" xfId="161"/>
    <cellStyle name="Accent1" xfId="52" builtinId="29" customBuiltin="1"/>
    <cellStyle name="Accent1 2" xfId="162"/>
    <cellStyle name="Accent1 2 2" xfId="163"/>
    <cellStyle name="Accent1 3" xfId="164"/>
    <cellStyle name="Accent1 4" xfId="165"/>
    <cellStyle name="Accent2" xfId="56" builtinId="33" customBuiltin="1"/>
    <cellStyle name="Accent2 2" xfId="166"/>
    <cellStyle name="Accent2 2 2" xfId="167"/>
    <cellStyle name="Accent2 3" xfId="168"/>
    <cellStyle name="Accent2 4" xfId="169"/>
    <cellStyle name="Accent3" xfId="60" builtinId="37" customBuiltin="1"/>
    <cellStyle name="Accent3 2" xfId="170"/>
    <cellStyle name="Accent3 2 2" xfId="171"/>
    <cellStyle name="Accent3 3" xfId="172"/>
    <cellStyle name="Accent3 4" xfId="173"/>
    <cellStyle name="Accent4" xfId="64" builtinId="41" customBuiltin="1"/>
    <cellStyle name="Accent4 2" xfId="174"/>
    <cellStyle name="Accent4 2 2" xfId="175"/>
    <cellStyle name="Accent4 3" xfId="176"/>
    <cellStyle name="Accent4 4" xfId="177"/>
    <cellStyle name="Accent5" xfId="68" builtinId="45" customBuiltin="1"/>
    <cellStyle name="Accent5 2" xfId="178"/>
    <cellStyle name="Accent5 2 2" xfId="179"/>
    <cellStyle name="Accent5 3" xfId="180"/>
    <cellStyle name="Accent5 4" xfId="181"/>
    <cellStyle name="Accent6" xfId="72" builtinId="49" customBuiltin="1"/>
    <cellStyle name="Accent6 2" xfId="182"/>
    <cellStyle name="Accent6 2 2" xfId="183"/>
    <cellStyle name="Accent6 3" xfId="184"/>
    <cellStyle name="Accent6 4" xfId="185"/>
    <cellStyle name="Bad" xfId="41" builtinId="27" customBuiltin="1"/>
    <cellStyle name="Bad 2" xfId="186"/>
    <cellStyle name="Bad 2 2" xfId="187"/>
    <cellStyle name="Bad 3" xfId="188"/>
    <cellStyle name="Bad 4" xfId="189"/>
    <cellStyle name="Calculation" xfId="45" builtinId="22" customBuiltin="1"/>
    <cellStyle name="Calculation 2" xfId="190"/>
    <cellStyle name="Calculation 3" xfId="191"/>
    <cellStyle name="Calculation 4" xfId="192"/>
    <cellStyle name="Check Cell" xfId="47" builtinId="23" customBuiltin="1"/>
    <cellStyle name="Check Cell 2" xfId="193"/>
    <cellStyle name="Check Cell 2 2" xfId="194"/>
    <cellStyle name="Check Cell 3" xfId="195"/>
    <cellStyle name="Check Cell 4" xfId="196"/>
    <cellStyle name="Comma" xfId="1" builtinId="3"/>
    <cellStyle name="Comma 10" xfId="197"/>
    <cellStyle name="Comma 11" xfId="619"/>
    <cellStyle name="Comma 2" xfId="10"/>
    <cellStyle name="Comma 2 2" xfId="199"/>
    <cellStyle name="Comma 2 2 2" xfId="200"/>
    <cellStyle name="Comma 2 2 2 2" xfId="201"/>
    <cellStyle name="Comma 2 2 3" xfId="202"/>
    <cellStyle name="Comma 2 2 3 2" xfId="203"/>
    <cellStyle name="Comma 2 2 3 3" xfId="204"/>
    <cellStyle name="Comma 2 2 3 4" xfId="205"/>
    <cellStyle name="Comma 2 2 4" xfId="206"/>
    <cellStyle name="Comma 2 2 5" xfId="207"/>
    <cellStyle name="Comma 2 2 5 2" xfId="208"/>
    <cellStyle name="Comma 2 2 6" xfId="209"/>
    <cellStyle name="Comma 2 3" xfId="210"/>
    <cellStyle name="Comma 2 4" xfId="211"/>
    <cellStyle name="Comma 2 4 2" xfId="212"/>
    <cellStyle name="Comma 2 5" xfId="213"/>
    <cellStyle name="Comma 2 5 2" xfId="214"/>
    <cellStyle name="Comma 2 5 3" xfId="215"/>
    <cellStyle name="Comma 2 6" xfId="216"/>
    <cellStyle name="Comma 2 7" xfId="198"/>
    <cellStyle name="Comma 3" xfId="11"/>
    <cellStyle name="Comma 3 2" xfId="12"/>
    <cellStyle name="Comma 3 2 2" xfId="218"/>
    <cellStyle name="Comma 3 2 3" xfId="219"/>
    <cellStyle name="Comma 3 3" xfId="220"/>
    <cellStyle name="Comma 3 4" xfId="217"/>
    <cellStyle name="Comma 4" xfId="13"/>
    <cellStyle name="Comma 4 2" xfId="14"/>
    <cellStyle name="Comma 4 2 2" xfId="608"/>
    <cellStyle name="Comma 4 2 3" xfId="221"/>
    <cellStyle name="Comma 4 3" xfId="222"/>
    <cellStyle name="Comma 4 3 2" xfId="613"/>
    <cellStyle name="Comma 5" xfId="15"/>
    <cellStyle name="Comma 5 2" xfId="224"/>
    <cellStyle name="Comma 5 3" xfId="225"/>
    <cellStyle name="Comma 5 4" xfId="226"/>
    <cellStyle name="Comma 5 4 2" xfId="227"/>
    <cellStyle name="Comma 5 5" xfId="609"/>
    <cellStyle name="Comma 5 6" xfId="223"/>
    <cellStyle name="Comma 6" xfId="16"/>
    <cellStyle name="Comma 6 2" xfId="620"/>
    <cellStyle name="Comma 7" xfId="228"/>
    <cellStyle name="Comma 8" xfId="229"/>
    <cellStyle name="Comma 9" xfId="230"/>
    <cellStyle name="Comma0" xfId="17"/>
    <cellStyle name="Comma0 10" xfId="232"/>
    <cellStyle name="Comma0 10 2" xfId="233"/>
    <cellStyle name="Comma0 11" xfId="234"/>
    <cellStyle name="Comma0 12" xfId="235"/>
    <cellStyle name="Comma0 13" xfId="231"/>
    <cellStyle name="Comma0 14" xfId="78"/>
    <cellStyle name="Comma0 2" xfId="18"/>
    <cellStyle name="Comma0 2 2" xfId="236"/>
    <cellStyle name="Comma0 2 3" xfId="237"/>
    <cellStyle name="Comma0 2 4" xfId="238"/>
    <cellStyle name="Comma0 2 5" xfId="239"/>
    <cellStyle name="Comma0 3" xfId="19"/>
    <cellStyle name="Comma0 4" xfId="240"/>
    <cellStyle name="Comma0 4 2" xfId="241"/>
    <cellStyle name="Comma0 4 3" xfId="242"/>
    <cellStyle name="Comma0 5" xfId="243"/>
    <cellStyle name="Comma0 5 2" xfId="244"/>
    <cellStyle name="Comma0 5 3" xfId="245"/>
    <cellStyle name="Comma0 6" xfId="246"/>
    <cellStyle name="Comma0 6 2" xfId="247"/>
    <cellStyle name="Comma0 6 3" xfId="248"/>
    <cellStyle name="Comma0 7" xfId="249"/>
    <cellStyle name="Comma0 7 2" xfId="250"/>
    <cellStyle name="Comma0 8" xfId="251"/>
    <cellStyle name="Comma0 8 2" xfId="252"/>
    <cellStyle name="Comma0 9" xfId="253"/>
    <cellStyle name="Comma0_ARLU 2006-07 Major Projects" xfId="254"/>
    <cellStyle name="Currency" xfId="2" builtinId="4"/>
    <cellStyle name="Currency 2" xfId="20"/>
    <cellStyle name="Currency 2 2" xfId="255"/>
    <cellStyle name="Currency 2 3" xfId="256"/>
    <cellStyle name="Currency 3" xfId="21"/>
    <cellStyle name="Currency 3 2" xfId="258"/>
    <cellStyle name="Currency 3 2 2" xfId="259"/>
    <cellStyle name="Currency 3 2 3" xfId="260"/>
    <cellStyle name="Currency 3 2 4" xfId="614"/>
    <cellStyle name="Currency 3 3" xfId="261"/>
    <cellStyle name="Currency 3 3 2" xfId="262"/>
    <cellStyle name="Currency 3 4" xfId="263"/>
    <cellStyle name="Currency 3 4 2" xfId="264"/>
    <cellStyle name="Currency 3 4 3" xfId="265"/>
    <cellStyle name="Currency 3 5" xfId="266"/>
    <cellStyle name="Currency 3 6" xfId="267"/>
    <cellStyle name="Currency 3 7" xfId="257"/>
    <cellStyle name="Currency 3 8" xfId="610"/>
    <cellStyle name="Currency 4" xfId="22"/>
    <cellStyle name="Currency 4 2" xfId="269"/>
    <cellStyle name="Currency 4 3" xfId="270"/>
    <cellStyle name="Currency 4 4" xfId="616"/>
    <cellStyle name="Currency 4 5" xfId="622"/>
    <cellStyle name="Currency 4 6" xfId="268"/>
    <cellStyle name="Currency 5" xfId="271"/>
    <cellStyle name="Currency 6" xfId="272"/>
    <cellStyle name="Currency 7" xfId="273"/>
    <cellStyle name="Currency 8" xfId="606"/>
    <cellStyle name="Currency 9" xfId="621"/>
    <cellStyle name="Currency0" xfId="79"/>
    <cellStyle name="Currency0 2" xfId="274"/>
    <cellStyle name="Currency0 2 2" xfId="275"/>
    <cellStyle name="Currency0 2 3" xfId="276"/>
    <cellStyle name="Currency0 2 4" xfId="277"/>
    <cellStyle name="Currency0 2 5" xfId="278"/>
    <cellStyle name="Currency0 3" xfId="279"/>
    <cellStyle name="Currency0 4" xfId="280"/>
    <cellStyle name="Currency0 5" xfId="281"/>
    <cellStyle name="Currency0 6" xfId="282"/>
    <cellStyle name="Currency0 7" xfId="283"/>
    <cellStyle name="Date" xfId="80"/>
    <cellStyle name="Date 2" xfId="285"/>
    <cellStyle name="Date 2 2" xfId="286"/>
    <cellStyle name="Date 2 3" xfId="287"/>
    <cellStyle name="Date 2 4" xfId="288"/>
    <cellStyle name="Date 3" xfId="289"/>
    <cellStyle name="Date 3 2" xfId="290"/>
    <cellStyle name="Date 3 3" xfId="291"/>
    <cellStyle name="Date 4" xfId="292"/>
    <cellStyle name="Date 5" xfId="293"/>
    <cellStyle name="Date 6" xfId="294"/>
    <cellStyle name="Date 7" xfId="295"/>
    <cellStyle name="Date 8" xfId="296"/>
    <cellStyle name="Date 9" xfId="284"/>
    <cellStyle name="Date_DRAFT DEC07 TO FNCFS" xfId="297"/>
    <cellStyle name="Explanatory Text" xfId="50" builtinId="53" customBuiltin="1"/>
    <cellStyle name="Explanatory Text 2" xfId="298"/>
    <cellStyle name="Explanatory Text 2 2" xfId="299"/>
    <cellStyle name="Explanatory Text 3" xfId="300"/>
    <cellStyle name="Explanatory Text 4" xfId="301"/>
    <cellStyle name="Fixed" xfId="81"/>
    <cellStyle name="Fixed 2" xfId="303"/>
    <cellStyle name="Fixed 2 2" xfId="304"/>
    <cellStyle name="Fixed 2 3" xfId="305"/>
    <cellStyle name="Fixed 3" xfId="306"/>
    <cellStyle name="Fixed 3 2" xfId="307"/>
    <cellStyle name="Fixed 3 3" xfId="308"/>
    <cellStyle name="Fixed 4" xfId="309"/>
    <cellStyle name="Fixed 5" xfId="310"/>
    <cellStyle name="Fixed 6" xfId="311"/>
    <cellStyle name="Fixed 7" xfId="312"/>
    <cellStyle name="Fixed 8" xfId="302"/>
    <cellStyle name="Fixed_538_Heiltsuk" xfId="313"/>
    <cellStyle name="Followed Hyperlink" xfId="7" builtinId="9" hidden="1"/>
    <cellStyle name="Followed Hyperlink" xfId="9" builtinId="9" hidden="1"/>
    <cellStyle name="Good" xfId="40" builtinId="26" customBuiltin="1"/>
    <cellStyle name="Good 2" xfId="314"/>
    <cellStyle name="Good 2 2" xfId="315"/>
    <cellStyle name="Good 3" xfId="316"/>
    <cellStyle name="Good 4" xfId="317"/>
    <cellStyle name="Heading 1" xfId="36" builtinId="16" customBuiltin="1"/>
    <cellStyle name="Heading 1 2" xfId="83"/>
    <cellStyle name="Heading 1 3" xfId="318"/>
    <cellStyle name="Heading 1 4" xfId="319"/>
    <cellStyle name="Heading 1 5" xfId="320"/>
    <cellStyle name="Heading 1 6" xfId="321"/>
    <cellStyle name="Heading 1 7" xfId="322"/>
    <cellStyle name="Heading 1 8" xfId="323"/>
    <cellStyle name="Heading 1 8 2" xfId="324"/>
    <cellStyle name="Heading 2" xfId="37" builtinId="17" customBuiltin="1"/>
    <cellStyle name="Heading 2 2" xfId="85"/>
    <cellStyle name="Heading 2 3" xfId="325"/>
    <cellStyle name="Heading 2 4" xfId="326"/>
    <cellStyle name="Heading 2 5" xfId="327"/>
    <cellStyle name="Heading 2 6" xfId="328"/>
    <cellStyle name="Heading 2 7" xfId="329"/>
    <cellStyle name="Heading 2 8" xfId="330"/>
    <cellStyle name="Heading 2 8 2" xfId="331"/>
    <cellStyle name="Heading 3" xfId="38" builtinId="18" customBuiltin="1"/>
    <cellStyle name="Heading 3 2" xfId="332"/>
    <cellStyle name="Heading 3 3" xfId="333"/>
    <cellStyle name="Heading 3 4" xfId="334"/>
    <cellStyle name="Heading 4" xfId="39" builtinId="19" customBuiltin="1"/>
    <cellStyle name="Heading 4 2" xfId="335"/>
    <cellStyle name="Heading 4 3" xfId="336"/>
    <cellStyle name="Heading 4 4" xfId="337"/>
    <cellStyle name="Hyperlink" xfId="6" builtinId="8" hidden="1"/>
    <cellStyle name="Hyperlink" xfId="8" builtinId="8" hidden="1"/>
    <cellStyle name="Hyperlink 2" xfId="338"/>
    <cellStyle name="Input" xfId="43" builtinId="20" customBuiltin="1"/>
    <cellStyle name="Input 2" xfId="339"/>
    <cellStyle name="Input 2 2" xfId="340"/>
    <cellStyle name="Input 2 3" xfId="341"/>
    <cellStyle name="Input 3" xfId="342"/>
    <cellStyle name="Input 4" xfId="343"/>
    <cellStyle name="Linked Cell" xfId="46" builtinId="24" customBuiltin="1"/>
    <cellStyle name="Linked Cell 2" xfId="344"/>
    <cellStyle name="Linked Cell 3" xfId="345"/>
    <cellStyle name="Linked Cell 4" xfId="346"/>
    <cellStyle name="Neutral" xfId="42" builtinId="28" customBuiltin="1"/>
    <cellStyle name="Neutral 2" xfId="347"/>
    <cellStyle name="Neutral 3" xfId="348"/>
    <cellStyle name="Neutral 4" xfId="349"/>
    <cellStyle name="Normal" xfId="0" builtinId="0"/>
    <cellStyle name="Normal 10" xfId="350"/>
    <cellStyle name="Normal 10 2" xfId="351"/>
    <cellStyle name="Normal 10 2 2" xfId="352"/>
    <cellStyle name="Normal 10 3" xfId="353"/>
    <cellStyle name="Normal 10 3 2" xfId="354"/>
    <cellStyle name="Normal 10 4" xfId="355"/>
    <cellStyle name="Normal 11" xfId="356"/>
    <cellStyle name="Normal 11 2" xfId="357"/>
    <cellStyle name="Normal 11 2 2" xfId="358"/>
    <cellStyle name="Normal 11 2 2 2" xfId="359"/>
    <cellStyle name="Normal 11 2 3" xfId="360"/>
    <cellStyle name="Normal 11 2 4" xfId="361"/>
    <cellStyle name="Normal 11 3" xfId="362"/>
    <cellStyle name="Normal 11 3 2" xfId="363"/>
    <cellStyle name="Normal 11 3 2 2" xfId="364"/>
    <cellStyle name="Normal 11 3 2 3" xfId="365"/>
    <cellStyle name="Normal 11 4" xfId="366"/>
    <cellStyle name="Normal 11 4 2" xfId="367"/>
    <cellStyle name="Normal 11 4 2 2" xfId="368"/>
    <cellStyle name="Normal 11 4 3" xfId="369"/>
    <cellStyle name="Normal 11 5" xfId="370"/>
    <cellStyle name="Normal 12" xfId="371"/>
    <cellStyle name="Normal 12 2" xfId="372"/>
    <cellStyle name="Normal 12 2 2" xfId="373"/>
    <cellStyle name="Normal 12 2 2 2" xfId="374"/>
    <cellStyle name="Normal 12 2 2 2 2" xfId="375"/>
    <cellStyle name="Normal 12 3" xfId="376"/>
    <cellStyle name="Normal 12 3 2" xfId="377"/>
    <cellStyle name="Normal 12 3 3" xfId="378"/>
    <cellStyle name="Normal 12 4" xfId="379"/>
    <cellStyle name="Normal 12 5" xfId="380"/>
    <cellStyle name="Normal 12 6" xfId="381"/>
    <cellStyle name="Normal 12 7" xfId="382"/>
    <cellStyle name="Normal 13" xfId="383"/>
    <cellStyle name="Normal 13 2" xfId="384"/>
    <cellStyle name="Normal 13 2 2" xfId="385"/>
    <cellStyle name="Normal 13 2 3" xfId="386"/>
    <cellStyle name="Normal 13 3" xfId="387"/>
    <cellStyle name="Normal 13 4" xfId="388"/>
    <cellStyle name="Normal 14" xfId="389"/>
    <cellStyle name="Normal 14 2" xfId="390"/>
    <cellStyle name="Normal 14 2 2" xfId="391"/>
    <cellStyle name="Normal 14 2 3" xfId="392"/>
    <cellStyle name="Normal 14 3" xfId="393"/>
    <cellStyle name="Normal 14 3 2" xfId="394"/>
    <cellStyle name="Normal 15" xfId="395"/>
    <cellStyle name="Normal 15 2" xfId="396"/>
    <cellStyle name="Normal 15 2 2" xfId="397"/>
    <cellStyle name="Normal 15 3" xfId="398"/>
    <cellStyle name="Normal 15 4" xfId="399"/>
    <cellStyle name="Normal 16" xfId="400"/>
    <cellStyle name="Normal 16 2" xfId="401"/>
    <cellStyle name="Normal 16 2 2" xfId="402"/>
    <cellStyle name="Normal 16 3" xfId="403"/>
    <cellStyle name="Normal 16 3 2" xfId="404"/>
    <cellStyle name="Normal 16 4" xfId="405"/>
    <cellStyle name="Normal 16 4 2" xfId="406"/>
    <cellStyle name="Normal 17" xfId="407"/>
    <cellStyle name="Normal 17 2" xfId="408"/>
    <cellStyle name="Normal 17 2 2" xfId="409"/>
    <cellStyle name="Normal 17 2 3" xfId="410"/>
    <cellStyle name="Normal 17 2 3 2" xfId="411"/>
    <cellStyle name="Normal 17 3" xfId="412"/>
    <cellStyle name="Normal 17 4" xfId="413"/>
    <cellStyle name="Normal 17 4 2" xfId="414"/>
    <cellStyle name="Normal 18" xfId="415"/>
    <cellStyle name="Normal 18 2" xfId="416"/>
    <cellStyle name="Normal 18 2 2" xfId="417"/>
    <cellStyle name="Normal 18 2 2 2" xfId="418"/>
    <cellStyle name="Normal 18 3" xfId="419"/>
    <cellStyle name="Normal 18 3 2" xfId="420"/>
    <cellStyle name="Normal 18 4" xfId="421"/>
    <cellStyle name="Normal 18 4 2" xfId="422"/>
    <cellStyle name="Normal 18 4 3" xfId="423"/>
    <cellStyle name="Normal 19" xfId="424"/>
    <cellStyle name="Normal 19 2" xfId="425"/>
    <cellStyle name="Normal 19 3" xfId="426"/>
    <cellStyle name="Normal 2" xfId="4"/>
    <cellStyle name="Normal 2 2" xfId="84"/>
    <cellStyle name="Normal 2 2 2" xfId="428"/>
    <cellStyle name="Normal 2 2 2 2" xfId="429"/>
    <cellStyle name="Normal 2 2 2 2 2" xfId="430"/>
    <cellStyle name="Normal 2 2 2 3" xfId="431"/>
    <cellStyle name="Normal 2 2 2 4" xfId="432"/>
    <cellStyle name="Normal 2 2 2 4 2" xfId="433"/>
    <cellStyle name="Normal 2 2 2 5" xfId="434"/>
    <cellStyle name="Normal 2 2 3" xfId="435"/>
    <cellStyle name="Normal 2 2 3 2" xfId="436"/>
    <cellStyle name="Normal 2 2 3 3" xfId="437"/>
    <cellStyle name="Normal 2 2 3 4" xfId="438"/>
    <cellStyle name="Normal 2 2 4" xfId="439"/>
    <cellStyle name="Normal 2 2 4 2" xfId="440"/>
    <cellStyle name="Normal 2 2 5" xfId="441"/>
    <cellStyle name="Normal 2 2 6" xfId="442"/>
    <cellStyle name="Normal 2 2 7" xfId="427"/>
    <cellStyle name="Normal 2 3" xfId="443"/>
    <cellStyle name="Normal 2 3 2" xfId="444"/>
    <cellStyle name="Normal 2 3 2 2" xfId="445"/>
    <cellStyle name="Normal 2 3 3" xfId="446"/>
    <cellStyle name="Normal 2 3 4" xfId="447"/>
    <cellStyle name="Normal 2 3 5" xfId="448"/>
    <cellStyle name="Normal 2 4" xfId="449"/>
    <cellStyle name="Normal 2 4 2" xfId="450"/>
    <cellStyle name="Normal 2 4 2 2" xfId="451"/>
    <cellStyle name="Normal 2 4 3" xfId="452"/>
    <cellStyle name="Normal 2 4 4" xfId="453"/>
    <cellStyle name="Normal 2 5" xfId="454"/>
    <cellStyle name="Normal 2 5 2" xfId="455"/>
    <cellStyle name="Normal 2 5 3" xfId="456"/>
    <cellStyle name="Normal 2 6" xfId="457"/>
    <cellStyle name="Normal 2 6 2" xfId="458"/>
    <cellStyle name="Normal 2 7" xfId="459"/>
    <cellStyle name="Normal 2 8" xfId="77"/>
    <cellStyle name="Normal 2 9" xfId="76"/>
    <cellStyle name="Normal 2_Provincial" xfId="82"/>
    <cellStyle name="Normal 20" xfId="460"/>
    <cellStyle name="Normal 20 2" xfId="461"/>
    <cellStyle name="Normal 20 2 2" xfId="462"/>
    <cellStyle name="Normal 20 2 3" xfId="463"/>
    <cellStyle name="Normal 20 3" xfId="464"/>
    <cellStyle name="Normal 20 4" xfId="465"/>
    <cellStyle name="Normal 21" xfId="466"/>
    <cellStyle name="Normal 21 2" xfId="467"/>
    <cellStyle name="Normal 22" xfId="468"/>
    <cellStyle name="Normal 22 2" xfId="469"/>
    <cellStyle name="Normal 22 2 2" xfId="470"/>
    <cellStyle name="Normal 22 3" xfId="471"/>
    <cellStyle name="Normal 22 4" xfId="472"/>
    <cellStyle name="Normal 23" xfId="473"/>
    <cellStyle name="Normal 23 2" xfId="474"/>
    <cellStyle name="Normal 24" xfId="475"/>
    <cellStyle name="Normal 25" xfId="476"/>
    <cellStyle name="Normal 25 2" xfId="477"/>
    <cellStyle name="Normal 26" xfId="478"/>
    <cellStyle name="Normal 26 2" xfId="479"/>
    <cellStyle name="Normal 26 3" xfId="480"/>
    <cellStyle name="Normal 27" xfId="481"/>
    <cellStyle name="Normal 27 2" xfId="482"/>
    <cellStyle name="Normal 27 3" xfId="483"/>
    <cellStyle name="Normal 27 3 2" xfId="484"/>
    <cellStyle name="Normal 28" xfId="485"/>
    <cellStyle name="Normal 29" xfId="486"/>
    <cellStyle name="Normal 29 2" xfId="487"/>
    <cellStyle name="Normal 3" xfId="23"/>
    <cellStyle name="Normal 3 10" xfId="488"/>
    <cellStyle name="Normal 3 2" xfId="24"/>
    <cellStyle name="Normal 3 2 2" xfId="489"/>
    <cellStyle name="Normal 3 2 2 2" xfId="490"/>
    <cellStyle name="Normal 3 2 2 3" xfId="491"/>
    <cellStyle name="Normal 3 2 2 3 2" xfId="492"/>
    <cellStyle name="Normal 3 2 3" xfId="493"/>
    <cellStyle name="Normal 3 2 3 2" xfId="494"/>
    <cellStyle name="Normal 3 2 4" xfId="495"/>
    <cellStyle name="Normal 3 2 4 2" xfId="496"/>
    <cellStyle name="Normal 3 2 5" xfId="497"/>
    <cellStyle name="Normal 3 2 5 2" xfId="498"/>
    <cellStyle name="Normal 3 2 6" xfId="499"/>
    <cellStyle name="Normal 3 3" xfId="500"/>
    <cellStyle name="Normal 3 3 2" xfId="501"/>
    <cellStyle name="Normal 3 3 3" xfId="502"/>
    <cellStyle name="Normal 3 4" xfId="503"/>
    <cellStyle name="Normal 3 4 2" xfId="504"/>
    <cellStyle name="Normal 3 4 2 2" xfId="505"/>
    <cellStyle name="Normal 3 4 3" xfId="506"/>
    <cellStyle name="Normal 3 4 4" xfId="507"/>
    <cellStyle name="Normal 3 5" xfId="508"/>
    <cellStyle name="Normal 3 6" xfId="509"/>
    <cellStyle name="Normal 3 6 2" xfId="510"/>
    <cellStyle name="Normal 3 6 3" xfId="511"/>
    <cellStyle name="Normal 3 7" xfId="512"/>
    <cellStyle name="Normal 3 8" xfId="513"/>
    <cellStyle name="Normal 3 9" xfId="514"/>
    <cellStyle name="Normal 30" xfId="515"/>
    <cellStyle name="Normal 31" xfId="516"/>
    <cellStyle name="Normal 32" xfId="607"/>
    <cellStyle name="Normal 33" xfId="615"/>
    <cellStyle name="Normal 34" xfId="617"/>
    <cellStyle name="Normal 35" xfId="618"/>
    <cellStyle name="Normal 35 2" xfId="517"/>
    <cellStyle name="Normal 36" xfId="626"/>
    <cellStyle name="Normal 4" xfId="25"/>
    <cellStyle name="Normal 4 2" xfId="26"/>
    <cellStyle name="Normal 4 2 2" xfId="519"/>
    <cellStyle name="Normal 4 2 2 2" xfId="520"/>
    <cellStyle name="Normal 4 2 2 2 2" xfId="521"/>
    <cellStyle name="Normal 4 2 2 3" xfId="522"/>
    <cellStyle name="Normal 4 2 2 3 2" xfId="523"/>
    <cellStyle name="Normal 4 2 2 4" xfId="524"/>
    <cellStyle name="Normal 4 2 3" xfId="525"/>
    <cellStyle name="Normal 4 2 4" xfId="526"/>
    <cellStyle name="Normal 4 3" xfId="527"/>
    <cellStyle name="Normal 4 3 2" xfId="528"/>
    <cellStyle name="Normal 4 3 3" xfId="529"/>
    <cellStyle name="Normal 4 4" xfId="530"/>
    <cellStyle name="Normal 4 4 2" xfId="531"/>
    <cellStyle name="Normal 4 4 3" xfId="532"/>
    <cellStyle name="Normal 4 4 3 2" xfId="533"/>
    <cellStyle name="Normal 4 5" xfId="534"/>
    <cellStyle name="Normal 4 6" xfId="535"/>
    <cellStyle name="Normal 4 7" xfId="536"/>
    <cellStyle name="Normal 4 8" xfId="518"/>
    <cellStyle name="Normal 5" xfId="27"/>
    <cellStyle name="Normal 5 2" xfId="538"/>
    <cellStyle name="Normal 5 2 2" xfId="539"/>
    <cellStyle name="Normal 5 3" xfId="540"/>
    <cellStyle name="Normal 5 4" xfId="541"/>
    <cellStyle name="Normal 5 4 2" xfId="542"/>
    <cellStyle name="Normal 5 5" xfId="543"/>
    <cellStyle name="Normal 5 6" xfId="544"/>
    <cellStyle name="Normal 5 7" xfId="537"/>
    <cellStyle name="Normal 6" xfId="5"/>
    <cellStyle name="Normal 6 2" xfId="546"/>
    <cellStyle name="Normal 6 3" xfId="547"/>
    <cellStyle name="Normal 6 3 2" xfId="548"/>
    <cellStyle name="Normal 6 3 2 2" xfId="549"/>
    <cellStyle name="Normal 6 3 3" xfId="550"/>
    <cellStyle name="Normal 6 3 4" xfId="551"/>
    <cellStyle name="Normal 6 4" xfId="552"/>
    <cellStyle name="Normal 6 5" xfId="553"/>
    <cellStyle name="Normal 6 5 2" xfId="554"/>
    <cellStyle name="Normal 6 6" xfId="555"/>
    <cellStyle name="Normal 6 6 2" xfId="556"/>
    <cellStyle name="Normal 6 7" xfId="611"/>
    <cellStyle name="Normal 6 8" xfId="545"/>
    <cellStyle name="Normal 7" xfId="28"/>
    <cellStyle name="Normal 7 2" xfId="557"/>
    <cellStyle name="Normal 7 2 2" xfId="558"/>
    <cellStyle name="Normal 7 3" xfId="559"/>
    <cellStyle name="Normal 7 4" xfId="560"/>
    <cellStyle name="Normal 7 5" xfId="561"/>
    <cellStyle name="Normal 7 6" xfId="623"/>
    <cellStyle name="Normal 8" xfId="562"/>
    <cellStyle name="Normal 8 2" xfId="563"/>
    <cellStyle name="Normal 8 3" xfId="564"/>
    <cellStyle name="Normal 8 3 2" xfId="565"/>
    <cellStyle name="Normal 8 4" xfId="566"/>
    <cellStyle name="Normal 8 4 2" xfId="567"/>
    <cellStyle name="Normal 8 5" xfId="568"/>
    <cellStyle name="Normal 9" xfId="569"/>
    <cellStyle name="Normal 9 2" xfId="570"/>
    <cellStyle name="Normal 9 2 2" xfId="571"/>
    <cellStyle name="Normal 9 2 2 2" xfId="572"/>
    <cellStyle name="Normal 9 2 3" xfId="573"/>
    <cellStyle name="Normal 9 2 4" xfId="574"/>
    <cellStyle name="Normal 9 3" xfId="575"/>
    <cellStyle name="Normal 9 4" xfId="576"/>
    <cellStyle name="Normal 9 4 2" xfId="577"/>
    <cellStyle name="Normal 9 5" xfId="578"/>
    <cellStyle name="Normal 9 6" xfId="579"/>
    <cellStyle name="Note" xfId="49" builtinId="10" customBuiltin="1"/>
    <cellStyle name="Note 2" xfId="580"/>
    <cellStyle name="Note 2 2" xfId="581"/>
    <cellStyle name="Note 2 3" xfId="582"/>
    <cellStyle name="Note 3" xfId="583"/>
    <cellStyle name="Output" xfId="44" builtinId="21" customBuiltin="1"/>
    <cellStyle name="Output 2" xfId="584"/>
    <cellStyle name="Output 3" xfId="585"/>
    <cellStyle name="Output 4" xfId="586"/>
    <cellStyle name="Percent" xfId="3" builtinId="5"/>
    <cellStyle name="Percent 2" xfId="29"/>
    <cellStyle name="Percent 2 2" xfId="587"/>
    <cellStyle name="Percent 2 3" xfId="588"/>
    <cellStyle name="Percent 3" xfId="30"/>
    <cellStyle name="Percent 4" xfId="31"/>
    <cellStyle name="Percent 4 2" xfId="612"/>
    <cellStyle name="Percent 5" xfId="32"/>
    <cellStyle name="Percent 6" xfId="33"/>
    <cellStyle name="Percent 7" xfId="34"/>
    <cellStyle name="Percent 7 2" xfId="625"/>
    <cellStyle name="Percent 8" xfId="624"/>
    <cellStyle name="Title" xfId="35" builtinId="15" customBuiltin="1"/>
    <cellStyle name="Title 2" xfId="589"/>
    <cellStyle name="Total" xfId="51" builtinId="25" customBuiltin="1"/>
    <cellStyle name="Total 10" xfId="590"/>
    <cellStyle name="Total 2" xfId="86"/>
    <cellStyle name="Total 2 2" xfId="591"/>
    <cellStyle name="Total 2 3" xfId="592"/>
    <cellStyle name="Total 2 4" xfId="593"/>
    <cellStyle name="Total 3" xfId="594"/>
    <cellStyle name="Total 3 2" xfId="595"/>
    <cellStyle name="Total 4" xfId="596"/>
    <cellStyle name="Total 5" xfId="597"/>
    <cellStyle name="Total 6" xfId="598"/>
    <cellStyle name="Total 7" xfId="599"/>
    <cellStyle name="Total 8" xfId="600"/>
    <cellStyle name="Total 9" xfId="601"/>
    <cellStyle name="Warning Text" xfId="48" builtinId="11" customBuiltin="1"/>
    <cellStyle name="Warning Text 2" xfId="602"/>
    <cellStyle name="Warning Text 2 2" xfId="603"/>
    <cellStyle name="Warning Text 3" xfId="604"/>
    <cellStyle name="Warning Text 4" xfId="605"/>
  </cellStyles>
  <dxfs count="4">
    <dxf>
      <font>
        <b/>
        <i val="0"/>
        <strike val="0"/>
        <color rgb="FFFF0000"/>
      </font>
    </dxf>
    <dxf>
      <font>
        <color rgb="FF9C0006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EEEEC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'Estimator(Output)'!$B$65</c:f>
          <c:strCache>
            <c:ptCount val="1"/>
            <c:pt idx="0">
              <c:v>Funding by Category: 0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sng" strike="noStrike" kern="1200" spc="0" baseline="0">
              <a:solidFill>
                <a:srgbClr val="7030A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Estimator(Output)'!$B$7:$B$8,'Estimator(Output)'!$B$9,'Estimator(Output)'!$B$18,'Estimator(Output)'!$B$23,'Estimator(Output)'!$B$26,'Estimator(Output)'!$B$32,'Estimator(Output)'!$B$36,'Estimator(Output)'!$B$40,'Estimator(Output)'!$B$43,'Estimator(Output)'!$B$46,'Estimator(Output)'!$B$48,'Estimator(Output)'!$B$55)</c:f>
              <c:strCache>
                <c:ptCount val="13"/>
                <c:pt idx="0">
                  <c:v>Basic Allocation</c:v>
                </c:pt>
                <c:pt idx="1">
                  <c:v>Adult Education</c:v>
                </c:pt>
                <c:pt idx="2">
                  <c:v>Enrolment Decline</c:v>
                </c:pt>
                <c:pt idx="3">
                  <c:v>Unique Student Needs</c:v>
                </c:pt>
                <c:pt idx="4">
                  <c:v>Salary Differential</c:v>
                </c:pt>
                <c:pt idx="5">
                  <c:v>Small Community Supplement</c:v>
                </c:pt>
                <c:pt idx="6">
                  <c:v>Low Enrolment </c:v>
                </c:pt>
                <c:pt idx="7">
                  <c:v>Rural and Climate </c:v>
                </c:pt>
                <c:pt idx="8">
                  <c:v>Curriculum and Learning</c:v>
                </c:pt>
                <c:pt idx="9">
                  <c:v>Student Location Factor</c:v>
                </c:pt>
                <c:pt idx="10">
                  <c:v>Non Formula Amount</c:v>
                </c:pt>
                <c:pt idx="11">
                  <c:v>Other Support </c:v>
                </c:pt>
                <c:pt idx="12">
                  <c:v>Funding Protection</c:v>
                </c:pt>
              </c:strCache>
            </c:strRef>
          </c:cat>
          <c:val>
            <c:numRef>
              <c:f>('Estimator(Output)'!$G$7:$G$8,'Estimator(Output)'!$G$12,'Estimator(Output)'!$G$21,'Estimator(Output)'!$G$24,'Estimator(Output)'!$G$30,'Estimator(Output)'!$G$34,'Estimator(Output)'!$G$38,'Estimator(Output)'!$G$41,'Estimator(Output)'!$G$44,'Estimator(Output)'!$G$47,'Estimator(Output)'!$G$53,'Estimator(Output)'!$G$56)</c:f>
              <c:numCache>
                <c:formatCode>_("$"* #,##0_);_("$"* \(#,##0\);_("$"* "-"??_);_(@_)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36080192"/>
        <c:axId val="-1636079648"/>
      </c:barChart>
      <c:catAx>
        <c:axId val="-163608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36079648"/>
        <c:crosses val="autoZero"/>
        <c:auto val="1"/>
        <c:lblAlgn val="ctr"/>
        <c:lblOffset val="100"/>
        <c:noMultiLvlLbl val="0"/>
      </c:catAx>
      <c:valAx>
        <c:axId val="-16360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3608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53789</xdr:colOff>
      <xdr:row>13</xdr:row>
      <xdr:rowOff>188260</xdr:rowOff>
    </xdr:from>
    <xdr:to>
      <xdr:col>2</xdr:col>
      <xdr:colOff>322730</xdr:colOff>
      <xdr:row>15</xdr:row>
      <xdr:rowOff>17930</xdr:rowOff>
    </xdr:to>
    <xdr:sp macro="" textlink="">
      <xdr:nvSpPr>
        <xdr:cNvPr id="3" name="Left Arrow 2"/>
        <xdr:cNvSpPr/>
      </xdr:nvSpPr>
      <xdr:spPr>
        <a:xfrm>
          <a:off x="4168589" y="3496236"/>
          <a:ext cx="268941" cy="224118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35860</xdr:colOff>
      <xdr:row>15</xdr:row>
      <xdr:rowOff>44823</xdr:rowOff>
    </xdr:from>
    <xdr:to>
      <xdr:col>2</xdr:col>
      <xdr:colOff>304801</xdr:colOff>
      <xdr:row>16</xdr:row>
      <xdr:rowOff>71718</xdr:rowOff>
    </xdr:to>
    <xdr:sp macro="" textlink="">
      <xdr:nvSpPr>
        <xdr:cNvPr id="5" name="Left Arrow 4"/>
        <xdr:cNvSpPr/>
      </xdr:nvSpPr>
      <xdr:spPr>
        <a:xfrm>
          <a:off x="4150660" y="3747247"/>
          <a:ext cx="268941" cy="224118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71718</xdr:colOff>
      <xdr:row>19</xdr:row>
      <xdr:rowOff>1</xdr:rowOff>
    </xdr:from>
    <xdr:to>
      <xdr:col>2</xdr:col>
      <xdr:colOff>340659</xdr:colOff>
      <xdr:row>20</xdr:row>
      <xdr:rowOff>44824</xdr:rowOff>
    </xdr:to>
    <xdr:sp macro="" textlink="">
      <xdr:nvSpPr>
        <xdr:cNvPr id="6" name="Left Arrow 5"/>
        <xdr:cNvSpPr/>
      </xdr:nvSpPr>
      <xdr:spPr>
        <a:xfrm>
          <a:off x="4186518" y="4437530"/>
          <a:ext cx="268941" cy="224118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89647</xdr:colOff>
      <xdr:row>21</xdr:row>
      <xdr:rowOff>170330</xdr:rowOff>
    </xdr:from>
    <xdr:to>
      <xdr:col>2</xdr:col>
      <xdr:colOff>358588</xdr:colOff>
      <xdr:row>23</xdr:row>
      <xdr:rowOff>35860</xdr:rowOff>
    </xdr:to>
    <xdr:sp macro="" textlink="">
      <xdr:nvSpPr>
        <xdr:cNvPr id="7" name="Left Arrow 6"/>
        <xdr:cNvSpPr/>
      </xdr:nvSpPr>
      <xdr:spPr>
        <a:xfrm>
          <a:off x="4204447" y="4966448"/>
          <a:ext cx="268941" cy="224118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0</xdr:col>
      <xdr:colOff>1757081</xdr:colOff>
      <xdr:row>4</xdr:row>
      <xdr:rowOff>35859</xdr:rowOff>
    </xdr:from>
    <xdr:to>
      <xdr:col>0</xdr:col>
      <xdr:colOff>2187386</xdr:colOff>
      <xdr:row>4</xdr:row>
      <xdr:rowOff>277906</xdr:rowOff>
    </xdr:to>
    <xdr:sp macro="" textlink="">
      <xdr:nvSpPr>
        <xdr:cNvPr id="4" name="Right Arrow 3"/>
        <xdr:cNvSpPr/>
      </xdr:nvSpPr>
      <xdr:spPr>
        <a:xfrm>
          <a:off x="1757081" y="1129553"/>
          <a:ext cx="430305" cy="24204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358588</xdr:colOff>
      <xdr:row>8</xdr:row>
      <xdr:rowOff>170330</xdr:rowOff>
    </xdr:from>
    <xdr:to>
      <xdr:col>2</xdr:col>
      <xdr:colOff>788893</xdr:colOff>
      <xdr:row>10</xdr:row>
      <xdr:rowOff>17930</xdr:rowOff>
    </xdr:to>
    <xdr:sp macro="" textlink="">
      <xdr:nvSpPr>
        <xdr:cNvPr id="9" name="Right Arrow 8"/>
        <xdr:cNvSpPr/>
      </xdr:nvSpPr>
      <xdr:spPr>
        <a:xfrm>
          <a:off x="4473388" y="2447365"/>
          <a:ext cx="430305" cy="24204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367552</xdr:colOff>
      <xdr:row>12</xdr:row>
      <xdr:rowOff>161365</xdr:rowOff>
    </xdr:from>
    <xdr:to>
      <xdr:col>2</xdr:col>
      <xdr:colOff>797857</xdr:colOff>
      <xdr:row>14</xdr:row>
      <xdr:rowOff>8965</xdr:rowOff>
    </xdr:to>
    <xdr:sp macro="" textlink="">
      <xdr:nvSpPr>
        <xdr:cNvPr id="10" name="Right Arrow 9"/>
        <xdr:cNvSpPr/>
      </xdr:nvSpPr>
      <xdr:spPr>
        <a:xfrm>
          <a:off x="4482352" y="3272118"/>
          <a:ext cx="430305" cy="242047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302558</xdr:colOff>
      <xdr:row>6</xdr:row>
      <xdr:rowOff>23531</xdr:rowOff>
    </xdr:from>
    <xdr:to>
      <xdr:col>19</xdr:col>
      <xdr:colOff>448236</xdr:colOff>
      <xdr:row>30</xdr:row>
      <xdr:rowOff>78441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</sheetPr>
  <dimension ref="A1:S30"/>
  <sheetViews>
    <sheetView tabSelected="1" zoomScale="85" zoomScaleNormal="85" workbookViewId="0">
      <selection activeCell="B5" sqref="B5"/>
    </sheetView>
  </sheetViews>
  <sheetFormatPr defaultColWidth="0" defaultRowHeight="15" zeroHeight="1" x14ac:dyDescent="0.25"/>
  <cols>
    <col min="1" max="1" width="33.28515625" style="1" customWidth="1"/>
    <col min="2" max="2" width="28.28515625" style="1" customWidth="1"/>
    <col min="3" max="3" width="12" style="1" customWidth="1"/>
    <col min="4" max="4" width="11.28515625" style="1" customWidth="1"/>
    <col min="5" max="18" width="10" style="1" customWidth="1"/>
    <col min="19" max="19" width="1.42578125" style="1" customWidth="1"/>
    <col min="20" max="16384" width="9.140625" style="1" hidden="1"/>
  </cols>
  <sheetData>
    <row r="1" spans="1:19" ht="36.75" customHeight="1" x14ac:dyDescent="0.25">
      <c r="A1" s="201" t="s">
        <v>269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  <c r="S1" s="15"/>
    </row>
    <row r="2" spans="1:19" ht="18.75" x14ac:dyDescent="0.3">
      <c r="A2" s="206" t="s">
        <v>233</v>
      </c>
      <c r="B2" s="207"/>
      <c r="C2" s="207"/>
      <c r="D2" s="207"/>
      <c r="E2" s="207"/>
      <c r="F2" s="208"/>
      <c r="S2" s="15"/>
    </row>
    <row r="3" spans="1:19" x14ac:dyDescent="0.25">
      <c r="S3" s="15"/>
    </row>
    <row r="4" spans="1:19" ht="17.25" customHeight="1" x14ac:dyDescent="0.25">
      <c r="C4" s="16" t="s">
        <v>113</v>
      </c>
      <c r="D4" s="16" t="s">
        <v>249</v>
      </c>
      <c r="S4" s="15"/>
    </row>
    <row r="5" spans="1:19" s="19" customFormat="1" ht="27.6" customHeight="1" x14ac:dyDescent="0.25">
      <c r="A5" s="5" t="s">
        <v>244</v>
      </c>
      <c r="B5" s="12"/>
      <c r="C5" s="14" t="str">
        <f>IFERROR(VLOOKUP(B5,BandInfo!$B$3:$C$103,2,0),"")</f>
        <v/>
      </c>
      <c r="D5" s="14" t="str">
        <f>IFERROR(VLOOKUP(C5,BandInfo!C:H,2,0),"")</f>
        <v/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ht="27.6" customHeight="1" x14ac:dyDescent="0.25">
      <c r="A6" s="5" t="s">
        <v>245</v>
      </c>
      <c r="B6" s="13" t="str">
        <f>IFERROR(VLOOKUP(B5,BandInfo!B3:E103,4,"false"),"")</f>
        <v/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15"/>
    </row>
    <row r="7" spans="1:19" ht="19.5" customHeight="1" thickBot="1" x14ac:dyDescent="0.3">
      <c r="A7" s="4"/>
      <c r="B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5"/>
    </row>
    <row r="8" spans="1:19" s="30" customFormat="1" ht="19.149999999999999" customHeight="1" x14ac:dyDescent="0.25">
      <c r="B8" s="31" t="s">
        <v>246</v>
      </c>
      <c r="D8" s="209" t="s">
        <v>252</v>
      </c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1"/>
      <c r="S8" s="32"/>
    </row>
    <row r="9" spans="1:19" ht="15.6" customHeight="1" x14ac:dyDescent="0.25">
      <c r="A9" s="3" t="s">
        <v>115</v>
      </c>
      <c r="B9" s="22">
        <v>2023</v>
      </c>
      <c r="D9" s="34" t="s">
        <v>59</v>
      </c>
      <c r="E9" s="35" t="s">
        <v>60</v>
      </c>
      <c r="F9" s="35">
        <v>1</v>
      </c>
      <c r="G9" s="35">
        <v>2</v>
      </c>
      <c r="H9" s="35">
        <v>3</v>
      </c>
      <c r="I9" s="35">
        <v>4</v>
      </c>
      <c r="J9" s="35">
        <v>5</v>
      </c>
      <c r="K9" s="35">
        <v>6</v>
      </c>
      <c r="L9" s="35">
        <v>7</v>
      </c>
      <c r="M9" s="36">
        <v>8</v>
      </c>
      <c r="N9" s="36">
        <v>9</v>
      </c>
      <c r="O9" s="36">
        <v>10</v>
      </c>
      <c r="P9" s="36">
        <v>11</v>
      </c>
      <c r="Q9" s="36">
        <v>12</v>
      </c>
      <c r="R9" s="37" t="s">
        <v>50</v>
      </c>
      <c r="S9" s="15"/>
    </row>
    <row r="10" spans="1:19" ht="15.6" customHeight="1" x14ac:dyDescent="0.25">
      <c r="A10" s="1" t="s">
        <v>46</v>
      </c>
      <c r="B10" s="6">
        <f>SUM(D10:L10)</f>
        <v>0</v>
      </c>
      <c r="C10" s="2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5"/>
    </row>
    <row r="11" spans="1:19" ht="15.6" customHeight="1" thickBot="1" x14ac:dyDescent="0.3">
      <c r="A11" s="1" t="s">
        <v>47</v>
      </c>
      <c r="B11" s="6">
        <f>SUM(M10:R10)</f>
        <v>0</v>
      </c>
      <c r="D11" s="24"/>
      <c r="S11" s="15"/>
    </row>
    <row r="12" spans="1:19" ht="19.149999999999999" customHeight="1" x14ac:dyDescent="0.25">
      <c r="A12" s="1" t="s">
        <v>62</v>
      </c>
      <c r="B12" s="33">
        <f>B10+B11</f>
        <v>0</v>
      </c>
      <c r="D12" s="209" t="s">
        <v>253</v>
      </c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1"/>
      <c r="S12" s="15"/>
    </row>
    <row r="13" spans="1:19" ht="15.6" customHeight="1" x14ac:dyDescent="0.25">
      <c r="A13" s="1" t="s">
        <v>48</v>
      </c>
      <c r="B13" s="6">
        <f>IF(OR(C5=FormulaFactors!C85,C5=FormulaFactors!C86,C5=FormulaFactors!C87),0,SUM(P10:Q10))</f>
        <v>0</v>
      </c>
      <c r="C13" s="25"/>
      <c r="D13" s="34" t="s">
        <v>59</v>
      </c>
      <c r="E13" s="35" t="s">
        <v>60</v>
      </c>
      <c r="F13" s="35">
        <v>1</v>
      </c>
      <c r="G13" s="35">
        <v>2</v>
      </c>
      <c r="H13" s="35">
        <v>3</v>
      </c>
      <c r="I13" s="35">
        <v>4</v>
      </c>
      <c r="J13" s="35">
        <v>5</v>
      </c>
      <c r="K13" s="35">
        <v>6</v>
      </c>
      <c r="L13" s="35">
        <v>7</v>
      </c>
      <c r="M13" s="36">
        <v>8</v>
      </c>
      <c r="N13" s="36">
        <v>9</v>
      </c>
      <c r="O13" s="36">
        <v>10</v>
      </c>
      <c r="P13" s="36">
        <v>11</v>
      </c>
      <c r="Q13" s="36">
        <v>12</v>
      </c>
      <c r="R13" s="37" t="s">
        <v>50</v>
      </c>
      <c r="S13" s="15"/>
    </row>
    <row r="14" spans="1:19" ht="15.6" customHeight="1" x14ac:dyDescent="0.25">
      <c r="A14" s="1" t="s">
        <v>61</v>
      </c>
      <c r="B14" s="9">
        <f>IF(OR(C5=FormulaFactors!C85,C5=FormulaFactors!C86,C5=FormulaFactors!C87),0,SUM(D14:R14))</f>
        <v>0</v>
      </c>
      <c r="C14" s="2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7"/>
    </row>
    <row r="15" spans="1:19" ht="15.6" customHeight="1" x14ac:dyDescent="0.25">
      <c r="A15" s="1" t="s">
        <v>49</v>
      </c>
      <c r="B15" s="10"/>
      <c r="S15" s="15"/>
    </row>
    <row r="16" spans="1:19" ht="15.6" customHeight="1" x14ac:dyDescent="0.25">
      <c r="A16" s="1" t="s">
        <v>45</v>
      </c>
      <c r="B16" s="11"/>
      <c r="C16" s="28"/>
      <c r="S16" s="15"/>
    </row>
    <row r="17" spans="1:19" x14ac:dyDescent="0.25">
      <c r="S17" s="15"/>
    </row>
    <row r="18" spans="1:19" x14ac:dyDescent="0.25">
      <c r="D18" s="38"/>
      <c r="S18" s="15"/>
    </row>
    <row r="19" spans="1:19" x14ac:dyDescent="0.25">
      <c r="A19" s="3" t="s">
        <v>247</v>
      </c>
      <c r="B19" s="2">
        <f>+B9-1</f>
        <v>2022</v>
      </c>
      <c r="S19" s="15"/>
    </row>
    <row r="20" spans="1:19" x14ac:dyDescent="0.25">
      <c r="A20" s="1" t="s">
        <v>114</v>
      </c>
      <c r="B20" s="10"/>
      <c r="C20" s="28"/>
      <c r="S20" s="15"/>
    </row>
    <row r="21" spans="1:19" x14ac:dyDescent="0.25">
      <c r="B21" s="29"/>
      <c r="C21" s="28"/>
      <c r="S21" s="15"/>
    </row>
    <row r="22" spans="1:19" x14ac:dyDescent="0.25">
      <c r="A22" s="3" t="s">
        <v>248</v>
      </c>
      <c r="B22" s="2">
        <f>+B9-3</f>
        <v>2020</v>
      </c>
      <c r="C22" s="28"/>
      <c r="S22" s="15"/>
    </row>
    <row r="23" spans="1:19" x14ac:dyDescent="0.25">
      <c r="A23" s="1" t="s">
        <v>114</v>
      </c>
      <c r="B23" s="10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5"/>
    </row>
    <row r="24" spans="1:19" x14ac:dyDescent="0.25">
      <c r="B24" s="29"/>
      <c r="S24" s="15"/>
    </row>
    <row r="25" spans="1:19" x14ac:dyDescent="0.25">
      <c r="S25" s="15"/>
    </row>
    <row r="26" spans="1:19" x14ac:dyDescent="0.25">
      <c r="A26" s="7" t="s">
        <v>243</v>
      </c>
      <c r="B26" s="8" t="str">
        <f>IFERROR(VLOOKUP(C5,BandInfo!C:H,5,"false"),"")</f>
        <v/>
      </c>
      <c r="S26" s="15"/>
    </row>
    <row r="27" spans="1:19" x14ac:dyDescent="0.25">
      <c r="A27" s="204" t="s">
        <v>110</v>
      </c>
      <c r="B27" s="205" t="str">
        <f>IFERROR(VLOOKUP(C5,BandInfo!C:H,4,"false"),"")</f>
        <v/>
      </c>
      <c r="S27" s="15"/>
    </row>
    <row r="28" spans="1:19" x14ac:dyDescent="0.25">
      <c r="A28" s="204"/>
      <c r="B28" s="205"/>
      <c r="D28" s="212" t="s">
        <v>270</v>
      </c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S28" s="15"/>
    </row>
    <row r="29" spans="1:19" x14ac:dyDescent="0.25">
      <c r="S29" s="15"/>
    </row>
    <row r="30" spans="1:19" ht="6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</sheetData>
  <sheetProtection algorithmName="SHA-512" hashValue="frfd5RQerlGloYZ0J3fo6hVNOlMW1G2nXgM+Vtst7D+vOxwZJOQnQe9I2h5gM2AWQiAxnSz7G2rRjsgMbZqiUw==" saltValue="0hfCsr7BdH2QqdQLEuWiWA==" spinCount="100000" sheet="1" objects="1" scenarios="1" selectLockedCells="1"/>
  <mergeCells count="7">
    <mergeCell ref="A1:R1"/>
    <mergeCell ref="A27:A28"/>
    <mergeCell ref="B27:B28"/>
    <mergeCell ref="A2:F2"/>
    <mergeCell ref="D8:R8"/>
    <mergeCell ref="D12:R12"/>
    <mergeCell ref="D28:N28"/>
  </mergeCells>
  <conditionalFormatting sqref="D18">
    <cfRule type="containsText" dxfId="3" priority="1" operator="containsText" text="custom">
      <formula>NOT(ISERROR(SEARCH("custom",D18)))</formula>
    </cfRule>
    <cfRule type="containsText" dxfId="2" priority="2" operator="containsText" text="custom">
      <formula>NOT(ISERROR(SEARCH("custom",D18)))</formula>
    </cfRule>
  </conditionalFormatting>
  <dataValidations xWindow="455" yWindow="265" count="2">
    <dataValidation allowBlank="1" showErrorMessage="1" prompt="_x000a_" sqref="B6:B7"/>
    <dataValidation type="list" allowBlank="1" showInputMessage="1" showErrorMessage="1" sqref="B5">
      <formula1>FirstNation</formula1>
    </dataValidation>
  </dataValidations>
  <pageMargins left="0.7" right="0.7" top="0.75" bottom="0.75" header="0.3" footer="0.3"/>
  <pageSetup orientation="portrait" r:id="rId1"/>
  <ignoredErrors>
    <ignoredError sqref="B10:B11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U86"/>
  <sheetViews>
    <sheetView zoomScale="85" zoomScaleNormal="85" workbookViewId="0">
      <selection sqref="A1:XFD1048576"/>
    </sheetView>
  </sheetViews>
  <sheetFormatPr defaultColWidth="0" defaultRowHeight="15" zeroHeight="1" x14ac:dyDescent="0.25"/>
  <cols>
    <col min="1" max="1" width="15.7109375" style="125" customWidth="1"/>
    <col min="2" max="2" width="16.85546875" style="125" customWidth="1"/>
    <col min="3" max="3" width="39.85546875" style="125" customWidth="1"/>
    <col min="4" max="4" width="11.42578125" style="125" customWidth="1"/>
    <col min="5" max="5" width="13.42578125" style="125" customWidth="1"/>
    <col min="6" max="6" width="18.28515625" style="125" customWidth="1"/>
    <col min="7" max="7" width="17.42578125" style="125" customWidth="1"/>
    <col min="8" max="8" width="10" style="125" bestFit="1" customWidth="1"/>
    <col min="9" max="14" width="8.85546875" style="125" customWidth="1"/>
    <col min="15" max="15" width="10" style="125" customWidth="1"/>
    <col min="16" max="20" width="8.85546875" style="125" customWidth="1"/>
    <col min="21" max="21" width="4.7109375" style="126" customWidth="1"/>
    <col min="22" max="16384" width="8.85546875" style="125" hidden="1"/>
  </cols>
  <sheetData>
    <row r="1" spans="1:21" s="39" customFormat="1" ht="21" x14ac:dyDescent="0.35">
      <c r="B1" s="213" t="s">
        <v>241</v>
      </c>
      <c r="C1" s="213"/>
      <c r="D1" s="213"/>
      <c r="E1" s="213"/>
      <c r="F1" s="40" t="s">
        <v>124</v>
      </c>
      <c r="G1" s="41">
        <f>+'DataInfo(Input)'!B9</f>
        <v>2023</v>
      </c>
      <c r="U1" s="42"/>
    </row>
    <row r="2" spans="1:21" s="39" customFormat="1" ht="17.25" customHeight="1" x14ac:dyDescent="0.35">
      <c r="B2" s="43"/>
      <c r="D2" s="44"/>
      <c r="E2" s="44"/>
      <c r="F2" s="44"/>
      <c r="G2" s="44"/>
      <c r="U2" s="42"/>
    </row>
    <row r="3" spans="1:21" s="39" customFormat="1" ht="21" x14ac:dyDescent="0.35">
      <c r="B3" s="45" t="s">
        <v>78</v>
      </c>
      <c r="C3" s="46">
        <f>+'DataInfo(Input)'!B5</f>
        <v>0</v>
      </c>
      <c r="D3" s="46" t="str">
        <f>+'DataInfo(Input)'!C5</f>
        <v/>
      </c>
      <c r="E3" s="44"/>
      <c r="F3" s="44"/>
      <c r="G3" s="44"/>
      <c r="U3" s="42"/>
    </row>
    <row r="4" spans="1:21" s="39" customFormat="1" ht="21.6" customHeight="1" x14ac:dyDescent="0.35">
      <c r="B4" s="44"/>
      <c r="C4" s="47" t="str">
        <f>+'DataInfo(Input)'!B6</f>
        <v/>
      </c>
      <c r="D4" s="44"/>
      <c r="E4" s="44"/>
      <c r="F4" s="44"/>
      <c r="G4" s="44"/>
      <c r="U4" s="42"/>
    </row>
    <row r="5" spans="1:21" s="39" customFormat="1" x14ac:dyDescent="0.25">
      <c r="U5" s="42"/>
    </row>
    <row r="6" spans="1:21" s="39" customFormat="1" ht="49.9" customHeight="1" thickBot="1" x14ac:dyDescent="0.3">
      <c r="A6" s="48" t="s">
        <v>250</v>
      </c>
      <c r="B6" s="214" t="s">
        <v>242</v>
      </c>
      <c r="C6" s="215"/>
      <c r="D6" s="49" t="s">
        <v>72</v>
      </c>
      <c r="E6" s="50" t="s">
        <v>73</v>
      </c>
      <c r="F6" s="50" t="s">
        <v>30</v>
      </c>
      <c r="G6" s="51" t="s">
        <v>51</v>
      </c>
      <c r="H6" s="52"/>
      <c r="U6" s="42"/>
    </row>
    <row r="7" spans="1:21" s="39" customFormat="1" ht="15.75" x14ac:dyDescent="0.25">
      <c r="A7" s="53" t="s">
        <v>76</v>
      </c>
      <c r="B7" s="54" t="s">
        <v>28</v>
      </c>
      <c r="C7" s="55"/>
      <c r="D7" s="56">
        <f>+'DataInfo(Input)'!B12</f>
        <v>0</v>
      </c>
      <c r="E7" s="57">
        <f>+FormulaFactors!C7</f>
        <v>7885</v>
      </c>
      <c r="F7" s="57">
        <f>+D7*E7</f>
        <v>0</v>
      </c>
      <c r="G7" s="58">
        <f>+F7</f>
        <v>0</v>
      </c>
      <c r="H7" s="52"/>
      <c r="U7" s="42"/>
    </row>
    <row r="8" spans="1:21" s="39" customFormat="1" ht="15.75" x14ac:dyDescent="0.25">
      <c r="A8" s="59" t="s">
        <v>77</v>
      </c>
      <c r="B8" s="60" t="s">
        <v>74</v>
      </c>
      <c r="C8" s="61"/>
      <c r="D8" s="62">
        <f>+'DataInfo(Input)'!B15</f>
        <v>0</v>
      </c>
      <c r="E8" s="63">
        <f>+FormulaFactors!C22</f>
        <v>7885</v>
      </c>
      <c r="F8" s="63">
        <f>+D8*E8</f>
        <v>0</v>
      </c>
      <c r="G8" s="64">
        <f>+F8</f>
        <v>0</v>
      </c>
      <c r="H8" s="52"/>
      <c r="U8" s="42"/>
    </row>
    <row r="9" spans="1:21" s="39" customFormat="1" ht="15.75" x14ac:dyDescent="0.25">
      <c r="A9" s="65" t="s">
        <v>84</v>
      </c>
      <c r="B9" s="66" t="s">
        <v>31</v>
      </c>
      <c r="C9" s="67"/>
      <c r="D9" s="68"/>
      <c r="E9" s="69"/>
      <c r="F9" s="69"/>
      <c r="G9" s="70"/>
      <c r="H9" s="52"/>
      <c r="U9" s="42"/>
    </row>
    <row r="10" spans="1:21" s="39" customFormat="1" ht="15.75" x14ac:dyDescent="0.25">
      <c r="A10" s="71"/>
      <c r="B10" s="72">
        <f>+G1</f>
        <v>2023</v>
      </c>
      <c r="C10" s="73" t="s">
        <v>79</v>
      </c>
      <c r="D10" s="74">
        <f>+'DataInfo(Input)'!B10+'DataInfo(Input)'!B11</f>
        <v>0</v>
      </c>
      <c r="E10" s="75"/>
      <c r="F10" s="75"/>
      <c r="G10" s="76"/>
      <c r="H10" s="52"/>
      <c r="U10" s="42"/>
    </row>
    <row r="11" spans="1:21" s="39" customFormat="1" ht="15.75" x14ac:dyDescent="0.25">
      <c r="A11" s="71"/>
      <c r="B11" s="72"/>
      <c r="C11" s="73" t="s">
        <v>80</v>
      </c>
      <c r="D11" s="74">
        <f>IF('DataInfo(Input)'!B21+'DataInfo(Input)'!B20-'DataInfo(Input)'!B12&gt;0,'DataInfo(Input)'!B21+'DataInfo(Input)'!B20-'DataInfo(Input)'!B12,0)</f>
        <v>0</v>
      </c>
      <c r="E11" s="75">
        <f>+E7</f>
        <v>7885</v>
      </c>
      <c r="F11" s="75">
        <f>IF(D$15&lt;=FormulaFactors!C$9,0,IF(D$15&lt;=FormulaFactors!C$10,('Estimator(Output)'!D$15-FormulaFactors!C$9)*'Estimator(Output)'!D$13*FormulaFactors!C$11*E$11,(D$15-FormulaFactors!C$10)*FormulaFactors!C$12*'Estimator(Output)'!E$11*'Estimator(Output)'!D$13+(FormulaFactors!C$10-FormulaFactors!C$9)*FormulaFactors!C$11*'Estimator(Output)'!E$11*'Estimator(Output)'!D$13))</f>
        <v>0</v>
      </c>
      <c r="G11" s="76"/>
      <c r="H11" s="52"/>
      <c r="U11" s="42"/>
    </row>
    <row r="12" spans="1:21" s="39" customFormat="1" ht="15.75" x14ac:dyDescent="0.25">
      <c r="A12" s="71"/>
      <c r="B12" s="72"/>
      <c r="C12" s="73" t="s">
        <v>83</v>
      </c>
      <c r="D12" s="74">
        <f>IF('DataInfo(Input)'!B24+'DataInfo(Input)'!B23-('DataInfo(Input)'!B21+'DataInfo(Input)'!B20)&gt;0,'DataInfo(Input)'!B24+'DataInfo(Input)'!B23-('DataInfo(Input)'!B21+'DataInfo(Input)'!B20),0)</f>
        <v>0</v>
      </c>
      <c r="E12" s="75">
        <f>+E7</f>
        <v>7885</v>
      </c>
      <c r="F12" s="75">
        <f>IF(D$16&gt;FormulaFactors!C$14,('Estimator(Output)'!D$16-FormulaFactors!C$14)*'Estimator(Output)'!D$14*'Estimator(Output)'!E$12*FormulaFactors!C$15,0)</f>
        <v>0</v>
      </c>
      <c r="G12" s="76">
        <f>+F12+F11</f>
        <v>0</v>
      </c>
      <c r="H12" s="52"/>
      <c r="U12" s="42"/>
    </row>
    <row r="13" spans="1:21" s="39" customFormat="1" ht="15.75" x14ac:dyDescent="0.25">
      <c r="A13" s="71"/>
      <c r="B13" s="72"/>
      <c r="C13" s="77" t="s">
        <v>81</v>
      </c>
      <c r="D13" s="74">
        <f>+'DataInfo(Input)'!B21+'DataInfo(Input)'!B20</f>
        <v>0</v>
      </c>
      <c r="E13" s="75"/>
      <c r="F13" s="75"/>
      <c r="G13" s="76"/>
      <c r="H13" s="52"/>
      <c r="U13" s="42"/>
    </row>
    <row r="14" spans="1:21" s="39" customFormat="1" ht="15.75" x14ac:dyDescent="0.25">
      <c r="A14" s="71"/>
      <c r="B14" s="72"/>
      <c r="C14" s="77" t="s">
        <v>82</v>
      </c>
      <c r="D14" s="74">
        <f>+'DataInfo(Input)'!B24+'DataInfo(Input)'!B23</f>
        <v>0</v>
      </c>
      <c r="E14" s="75"/>
      <c r="F14" s="75"/>
      <c r="G14" s="76"/>
      <c r="H14" s="52"/>
      <c r="U14" s="42"/>
    </row>
    <row r="15" spans="1:21" s="39" customFormat="1" ht="15.75" x14ac:dyDescent="0.25">
      <c r="A15" s="71"/>
      <c r="B15" s="72"/>
      <c r="C15" s="77" t="s">
        <v>32</v>
      </c>
      <c r="D15" s="78">
        <f>IF(D11=0,0,+D11/D13)</f>
        <v>0</v>
      </c>
      <c r="E15" s="75"/>
      <c r="F15" s="75"/>
      <c r="G15" s="76"/>
      <c r="H15" s="52"/>
      <c r="U15" s="42"/>
    </row>
    <row r="16" spans="1:21" s="39" customFormat="1" ht="15.75" x14ac:dyDescent="0.25">
      <c r="A16" s="71"/>
      <c r="B16" s="72"/>
      <c r="C16" s="77" t="s">
        <v>33</v>
      </c>
      <c r="D16" s="78">
        <f>IF(D12=0,0,D12/D14)</f>
        <v>0</v>
      </c>
      <c r="E16" s="75"/>
      <c r="F16" s="75"/>
      <c r="G16" s="76"/>
      <c r="H16" s="52"/>
      <c r="U16" s="42"/>
    </row>
    <row r="17" spans="1:21" s="39" customFormat="1" ht="15.75" x14ac:dyDescent="0.25">
      <c r="A17" s="79"/>
      <c r="B17" s="80"/>
      <c r="C17" s="81"/>
      <c r="D17" s="82"/>
      <c r="E17" s="83"/>
      <c r="F17" s="83"/>
      <c r="G17" s="84"/>
      <c r="H17" s="52"/>
      <c r="U17" s="42"/>
    </row>
    <row r="18" spans="1:21" s="39" customFormat="1" ht="15.75" x14ac:dyDescent="0.25">
      <c r="A18" s="65"/>
      <c r="B18" s="66" t="s">
        <v>34</v>
      </c>
      <c r="C18" s="85"/>
      <c r="D18" s="86"/>
      <c r="E18" s="69"/>
      <c r="F18" s="69"/>
      <c r="G18" s="70"/>
      <c r="H18" s="52"/>
      <c r="U18" s="42"/>
    </row>
    <row r="19" spans="1:21" s="39" customFormat="1" ht="15.75" x14ac:dyDescent="0.25">
      <c r="A19" s="71" t="s">
        <v>126</v>
      </c>
      <c r="B19" s="87"/>
      <c r="C19" s="88" t="s">
        <v>91</v>
      </c>
      <c r="D19" s="89">
        <f>+'DataInfo(Input)'!B14*FormulaFactors!C17</f>
        <v>0</v>
      </c>
      <c r="E19" s="75">
        <f>+FormulaFactors!C18</f>
        <v>1585</v>
      </c>
      <c r="F19" s="75">
        <f>+E19*D19</f>
        <v>0</v>
      </c>
      <c r="G19" s="76"/>
      <c r="H19" s="52"/>
      <c r="U19" s="42"/>
    </row>
    <row r="20" spans="1:21" s="39" customFormat="1" ht="15.75" x14ac:dyDescent="0.25">
      <c r="A20" s="71" t="s">
        <v>127</v>
      </c>
      <c r="B20" s="87"/>
      <c r="C20" s="88" t="s">
        <v>230</v>
      </c>
      <c r="D20" s="89">
        <f>+'DataInfo(Input)'!B14</f>
        <v>0</v>
      </c>
      <c r="E20" s="75">
        <f>+FormulaFactors!C20</f>
        <v>1565</v>
      </c>
      <c r="F20" s="75">
        <f>+E20*D20</f>
        <v>0</v>
      </c>
      <c r="G20" s="76"/>
      <c r="H20" s="52"/>
      <c r="U20" s="42"/>
    </row>
    <row r="21" spans="1:21" s="39" customFormat="1" ht="15.75" x14ac:dyDescent="0.25">
      <c r="A21" s="71" t="s">
        <v>128</v>
      </c>
      <c r="B21" s="90"/>
      <c r="C21" s="91" t="s">
        <v>251</v>
      </c>
      <c r="D21" s="89">
        <f>+'DataInfo(Input)'!B12+'DataInfo(Input)'!B15</f>
        <v>0</v>
      </c>
      <c r="E21" s="92">
        <f>+FormulaFactors!C24</f>
        <v>139.79</v>
      </c>
      <c r="F21" s="75">
        <f>+E21*D21</f>
        <v>0</v>
      </c>
      <c r="G21" s="76">
        <f>+F19+F20+F21</f>
        <v>0</v>
      </c>
      <c r="H21" s="52"/>
      <c r="U21" s="42"/>
    </row>
    <row r="22" spans="1:21" s="39" customFormat="1" ht="15.75" x14ac:dyDescent="0.25">
      <c r="A22" s="71"/>
      <c r="B22" s="87"/>
      <c r="C22" s="91"/>
      <c r="D22" s="89"/>
      <c r="E22" s="92"/>
      <c r="F22" s="75"/>
      <c r="G22" s="76"/>
      <c r="H22" s="52"/>
      <c r="U22" s="42"/>
    </row>
    <row r="23" spans="1:21" s="39" customFormat="1" ht="15.75" x14ac:dyDescent="0.25">
      <c r="A23" s="65" t="s">
        <v>271</v>
      </c>
      <c r="B23" s="66" t="s">
        <v>35</v>
      </c>
      <c r="C23" s="85"/>
      <c r="D23" s="86"/>
      <c r="E23" s="69"/>
      <c r="F23" s="69"/>
      <c r="G23" s="70"/>
      <c r="H23" s="52"/>
      <c r="U23" s="42"/>
    </row>
    <row r="24" spans="1:21" s="39" customFormat="1" ht="15.75" x14ac:dyDescent="0.25">
      <c r="A24" s="71"/>
      <c r="B24" s="72"/>
      <c r="C24" s="77" t="s">
        <v>36</v>
      </c>
      <c r="D24" s="89">
        <f>+'DataInfo(Input)'!B10+'DataInfo(Input)'!B11+'DataInfo(Input)'!B15</f>
        <v>0</v>
      </c>
      <c r="E24" s="92">
        <f>+FormulaFactors!C26</f>
        <v>180.33</v>
      </c>
      <c r="F24" s="75">
        <f>E24*D24</f>
        <v>0</v>
      </c>
      <c r="G24" s="76">
        <f>+F24</f>
        <v>0</v>
      </c>
      <c r="H24" s="52"/>
      <c r="U24" s="42"/>
    </row>
    <row r="25" spans="1:21" s="39" customFormat="1" ht="15.75" x14ac:dyDescent="0.25">
      <c r="A25" s="79"/>
      <c r="B25" s="80"/>
      <c r="C25" s="81"/>
      <c r="D25" s="82"/>
      <c r="E25" s="83"/>
      <c r="F25" s="83"/>
      <c r="G25" s="84"/>
      <c r="H25" s="52"/>
      <c r="U25" s="42"/>
    </row>
    <row r="26" spans="1:21" s="39" customFormat="1" ht="15.75" x14ac:dyDescent="0.25">
      <c r="A26" s="93" t="s">
        <v>129</v>
      </c>
      <c r="B26" s="66" t="s">
        <v>37</v>
      </c>
      <c r="C26" s="85"/>
      <c r="D26" s="86"/>
      <c r="E26" s="69"/>
      <c r="F26" s="69"/>
      <c r="G26" s="70"/>
      <c r="H26" s="52"/>
      <c r="U26" s="42"/>
    </row>
    <row r="27" spans="1:21" s="39" customFormat="1" ht="15.75" x14ac:dyDescent="0.25">
      <c r="A27" s="71"/>
      <c r="B27" s="72"/>
      <c r="C27" s="77" t="s">
        <v>56</v>
      </c>
      <c r="D27" s="74">
        <f>+'DataInfo(Input)'!B10</f>
        <v>0</v>
      </c>
      <c r="E27" s="75">
        <f>IF(AND('DataInfo(Input)'!B27="yes",'DataInfo(Input)'!B10&lt;=FormulaFactors!C35,'DataInfo(Input)'!B10&gt;0),FormulaFactors!C37,IF(AND('DataInfo(Input)'!B27="yes",'DataInfo(Input)'!B10&gt;FormulaFactors!C36),0,IF(AND('DataInfo(Input)'!B27="yes",'DataInfo(Input)'!B10&gt;FormulaFactors!C35,'DataInfo(Input)'!B10&lt;=FormulaFactors!C36),FormulaFactors!C38,0)))</f>
        <v>0</v>
      </c>
      <c r="F27" s="94">
        <f>E27</f>
        <v>0</v>
      </c>
      <c r="G27" s="76"/>
      <c r="H27" s="52"/>
      <c r="U27" s="42"/>
    </row>
    <row r="28" spans="1:21" s="39" customFormat="1" ht="15.75" x14ac:dyDescent="0.25">
      <c r="A28" s="71"/>
      <c r="B28" s="72"/>
      <c r="C28" s="77" t="s">
        <v>57</v>
      </c>
      <c r="D28" s="74">
        <f>+D27</f>
        <v>0</v>
      </c>
      <c r="E28" s="75">
        <f>MAX(0,IF(AND('DataInfo(Input)'!B10&lt;=FormulaFactors!C28,'DataInfo(Input)'!B10&gt;0),FormulaFactors!C31,IF(AND('DataInfo(Input)'!B10&gt;FormulaFactors!C28,'DataInfo(Input)'!B10&lt;=FormulaFactors!C29),FormulaFactors!C32,IF('DataInfo(Input)'!B10&gt;0,FormulaFactors!C32-FormulaFactors!C33*('DataInfo(Input)'!B10-FormulaFactors!C29),0))))</f>
        <v>0</v>
      </c>
      <c r="F28" s="94">
        <f>IF(F27&gt;0,0,E28)</f>
        <v>0</v>
      </c>
      <c r="G28" s="76"/>
      <c r="H28" s="52"/>
      <c r="U28" s="42"/>
    </row>
    <row r="29" spans="1:21" s="39" customFormat="1" ht="15.75" x14ac:dyDescent="0.25">
      <c r="A29" s="71"/>
      <c r="B29" s="72"/>
      <c r="C29" s="77" t="s">
        <v>38</v>
      </c>
      <c r="D29" s="74">
        <f>+'DataInfo(Input)'!B11</f>
        <v>0</v>
      </c>
      <c r="E29" s="94">
        <f>MAX(0,IF('DataInfo(Input)'!B11&lt;=FormulaFactors!C40,FormulaFactors!C42*'DataInfo(Input)'!B11,(FormulaFactors!C43-FormulaFactors!C44*('DataInfo(Input)'!B11-FormulaFactors!C40))))</f>
        <v>0</v>
      </c>
      <c r="F29" s="75">
        <f>E29</f>
        <v>0</v>
      </c>
      <c r="G29" s="76"/>
      <c r="H29" s="52"/>
      <c r="U29" s="42"/>
    </row>
    <row r="30" spans="1:21" s="39" customFormat="1" ht="15.75" x14ac:dyDescent="0.25">
      <c r="A30" s="71"/>
      <c r="B30" s="72"/>
      <c r="C30" s="77" t="s">
        <v>29</v>
      </c>
      <c r="D30" s="74">
        <f>+'DataInfo(Input)'!B13</f>
        <v>0</v>
      </c>
      <c r="E30" s="75">
        <f>MAX(0,IF('DataInfo(Input)'!B13&lt;=FormulaFactors!C46,FormulaFactors!C48*'DataInfo(Input)'!B13,(FormulaFactors!C49-FormulaFactors!C50*('DataInfo(Input)'!B13-FormulaFactors!C46))))</f>
        <v>0</v>
      </c>
      <c r="F30" s="75">
        <f>E30</f>
        <v>0</v>
      </c>
      <c r="G30" s="76">
        <f>SUM(F27:F30)</f>
        <v>0</v>
      </c>
      <c r="H30" s="52"/>
      <c r="U30" s="42"/>
    </row>
    <row r="31" spans="1:21" s="39" customFormat="1" ht="15.75" x14ac:dyDescent="0.25">
      <c r="A31" s="79"/>
      <c r="B31" s="80"/>
      <c r="C31" s="81"/>
      <c r="D31" s="95"/>
      <c r="E31" s="83"/>
      <c r="F31" s="83"/>
      <c r="G31" s="84"/>
      <c r="H31" s="52"/>
      <c r="U31" s="42"/>
    </row>
    <row r="32" spans="1:21" s="39" customFormat="1" ht="15.75" x14ac:dyDescent="0.25">
      <c r="A32" s="93" t="s">
        <v>130</v>
      </c>
      <c r="B32" s="66" t="s">
        <v>39</v>
      </c>
      <c r="C32" s="85"/>
      <c r="D32" s="86"/>
      <c r="E32" s="69"/>
      <c r="F32" s="69"/>
      <c r="G32" s="70"/>
      <c r="H32" s="52"/>
      <c r="U32" s="42"/>
    </row>
    <row r="33" spans="1:21" s="39" customFormat="1" ht="15.75" x14ac:dyDescent="0.25">
      <c r="A33" s="71"/>
      <c r="B33" s="72"/>
      <c r="C33" s="77" t="s">
        <v>27</v>
      </c>
      <c r="D33" s="89" t="str">
        <f>+'DataInfo(Input)'!B26</f>
        <v/>
      </c>
      <c r="E33" s="75">
        <f>+FormulaFactors!C53</f>
        <v>53240</v>
      </c>
      <c r="F33" s="75">
        <f>IF(D24=0,0,+D33*E33)</f>
        <v>0</v>
      </c>
      <c r="G33" s="76"/>
      <c r="H33" s="52"/>
      <c r="U33" s="42"/>
    </row>
    <row r="34" spans="1:21" s="39" customFormat="1" ht="15.75" x14ac:dyDescent="0.25">
      <c r="A34" s="71"/>
      <c r="B34" s="72"/>
      <c r="C34" s="73" t="s">
        <v>58</v>
      </c>
      <c r="D34" s="74">
        <f>+'DataInfo(Input)'!B12+'DataInfo(Input)'!B15</f>
        <v>0</v>
      </c>
      <c r="E34" s="92">
        <f>+FormulaFactors!C52</f>
        <v>2130</v>
      </c>
      <c r="F34" s="75">
        <f>IF(D24=0,0,D34*E34)</f>
        <v>0</v>
      </c>
      <c r="G34" s="76">
        <f>+F33+F34</f>
        <v>0</v>
      </c>
      <c r="H34" s="52"/>
      <c r="U34" s="42"/>
    </row>
    <row r="35" spans="1:21" s="39" customFormat="1" ht="15.75" x14ac:dyDescent="0.25">
      <c r="A35" s="79"/>
      <c r="B35" s="80"/>
      <c r="C35" s="81"/>
      <c r="D35" s="82"/>
      <c r="E35" s="83"/>
      <c r="F35" s="83"/>
      <c r="G35" s="84"/>
      <c r="H35" s="52"/>
      <c r="U35" s="42"/>
    </row>
    <row r="36" spans="1:21" s="39" customFormat="1" ht="15.75" x14ac:dyDescent="0.25">
      <c r="A36" s="93"/>
      <c r="B36" s="66" t="s">
        <v>42</v>
      </c>
      <c r="C36" s="85"/>
      <c r="D36" s="86"/>
      <c r="E36" s="69"/>
      <c r="F36" s="69"/>
      <c r="G36" s="70"/>
      <c r="H36" s="52"/>
      <c r="U36" s="42"/>
    </row>
    <row r="37" spans="1:21" s="39" customFormat="1" ht="15.75" x14ac:dyDescent="0.25">
      <c r="A37" s="71" t="s">
        <v>131</v>
      </c>
      <c r="B37" s="72"/>
      <c r="C37" s="77" t="s">
        <v>40</v>
      </c>
      <c r="D37" s="96" t="e">
        <f>VLOOKUP('DataInfo(Input)'!C5,BandInfo!C:K,8,"false")</f>
        <v>#N/A</v>
      </c>
      <c r="E37" s="75">
        <f>+F7</f>
        <v>0</v>
      </c>
      <c r="F37" s="75" t="e">
        <f>+D37*E37*FormulaFactors!C55</f>
        <v>#N/A</v>
      </c>
      <c r="G37" s="76"/>
      <c r="H37" s="52"/>
      <c r="U37" s="42"/>
    </row>
    <row r="38" spans="1:21" s="39" customFormat="1" ht="15.75" x14ac:dyDescent="0.25">
      <c r="A38" s="71" t="s">
        <v>132</v>
      </c>
      <c r="B38" s="72"/>
      <c r="C38" s="77" t="s">
        <v>41</v>
      </c>
      <c r="D38" s="97" t="e">
        <f>VLOOKUP('DataInfo(Input)'!C5,BandInfo!C:K,7,"false")</f>
        <v>#N/A</v>
      </c>
      <c r="E38" s="75">
        <f>+F7</f>
        <v>0</v>
      </c>
      <c r="F38" s="75" t="e">
        <f>+E38*D38*FormulaFactors!C57</f>
        <v>#N/A</v>
      </c>
      <c r="G38" s="76" t="e">
        <f>+F37+F38</f>
        <v>#N/A</v>
      </c>
      <c r="H38" s="52"/>
      <c r="U38" s="42"/>
    </row>
    <row r="39" spans="1:21" s="39" customFormat="1" ht="15.75" x14ac:dyDescent="0.25">
      <c r="A39" s="79"/>
      <c r="B39" s="80"/>
      <c r="C39" s="81"/>
      <c r="D39" s="82"/>
      <c r="E39" s="83"/>
      <c r="F39" s="83"/>
      <c r="G39" s="84"/>
      <c r="H39" s="52"/>
      <c r="U39" s="42"/>
    </row>
    <row r="40" spans="1:21" s="39" customFormat="1" ht="15.75" x14ac:dyDescent="0.25">
      <c r="A40" s="93" t="s">
        <v>133</v>
      </c>
      <c r="B40" s="66" t="s">
        <v>231</v>
      </c>
      <c r="C40" s="85"/>
      <c r="D40" s="86"/>
      <c r="E40" s="69"/>
      <c r="F40" s="69"/>
      <c r="G40" s="70"/>
      <c r="H40" s="52"/>
      <c r="U40" s="42"/>
    </row>
    <row r="41" spans="1:21" s="39" customFormat="1" ht="15.75" x14ac:dyDescent="0.25">
      <c r="A41" s="71"/>
      <c r="B41" s="72"/>
      <c r="C41" s="77" t="s">
        <v>232</v>
      </c>
      <c r="D41" s="74">
        <f>+'DataInfo(Input)'!B12+'DataInfo(Input)'!B15</f>
        <v>0</v>
      </c>
      <c r="E41" s="75">
        <f>+FormulaFactors!C61</f>
        <v>9</v>
      </c>
      <c r="F41" s="75">
        <f>+D41*E41</f>
        <v>0</v>
      </c>
      <c r="G41" s="76">
        <f>+F41</f>
        <v>0</v>
      </c>
      <c r="H41" s="52"/>
      <c r="U41" s="42"/>
    </row>
    <row r="42" spans="1:21" s="39" customFormat="1" ht="15.75" x14ac:dyDescent="0.25">
      <c r="A42" s="71"/>
      <c r="B42" s="72"/>
      <c r="C42" s="77"/>
      <c r="D42" s="89"/>
      <c r="E42" s="75"/>
      <c r="F42" s="75"/>
      <c r="G42" s="76"/>
      <c r="H42" s="52"/>
      <c r="U42" s="42"/>
    </row>
    <row r="43" spans="1:21" s="39" customFormat="1" ht="15.75" x14ac:dyDescent="0.25">
      <c r="A43" s="65" t="s">
        <v>272</v>
      </c>
      <c r="B43" s="98" t="s">
        <v>70</v>
      </c>
      <c r="C43" s="99"/>
      <c r="D43" s="86"/>
      <c r="E43" s="69"/>
      <c r="F43" s="69"/>
      <c r="G43" s="70"/>
      <c r="H43" s="52"/>
      <c r="U43" s="42"/>
    </row>
    <row r="44" spans="1:21" s="39" customFormat="1" ht="15.75" x14ac:dyDescent="0.25">
      <c r="A44" s="71"/>
      <c r="B44" s="100"/>
      <c r="C44" s="101" t="s">
        <v>58</v>
      </c>
      <c r="D44" s="74">
        <f>+'DataInfo(Input)'!B12</f>
        <v>0</v>
      </c>
      <c r="E44" s="102" t="e">
        <f>VLOOKUP('DataInfo(Input)'!C5,BandInfo!C:K,9,"false")</f>
        <v>#N/A</v>
      </c>
      <c r="F44" s="75" t="e">
        <f>+E44*D44</f>
        <v>#N/A</v>
      </c>
      <c r="G44" s="76" t="e">
        <f>+F44</f>
        <v>#N/A</v>
      </c>
      <c r="H44" s="52"/>
      <c r="U44" s="42"/>
    </row>
    <row r="45" spans="1:21" s="39" customFormat="1" ht="15.75" x14ac:dyDescent="0.25">
      <c r="A45" s="103"/>
      <c r="B45" s="80"/>
      <c r="C45" s="81"/>
      <c r="D45" s="82"/>
      <c r="E45" s="83"/>
      <c r="F45" s="83"/>
      <c r="G45" s="84"/>
      <c r="H45" s="52"/>
      <c r="U45" s="42"/>
    </row>
    <row r="46" spans="1:21" s="39" customFormat="1" ht="15.75" x14ac:dyDescent="0.25">
      <c r="A46" s="104" t="s">
        <v>85</v>
      </c>
      <c r="B46" s="105" t="s">
        <v>43</v>
      </c>
      <c r="C46" s="77"/>
      <c r="D46" s="89"/>
      <c r="E46" s="75"/>
      <c r="F46" s="75"/>
      <c r="G46" s="76"/>
      <c r="H46" s="52"/>
      <c r="U46" s="42"/>
    </row>
    <row r="47" spans="1:21" s="39" customFormat="1" ht="15.75" x14ac:dyDescent="0.25">
      <c r="A47" s="71"/>
      <c r="B47" s="105"/>
      <c r="C47" s="77" t="s">
        <v>44</v>
      </c>
      <c r="D47" s="106">
        <f>+FormulaFactors!C63</f>
        <v>0.2079</v>
      </c>
      <c r="E47" s="75" t="e">
        <f>SUM(G7:G45)</f>
        <v>#N/A</v>
      </c>
      <c r="F47" s="75" t="e">
        <f>+E47*D47</f>
        <v>#N/A</v>
      </c>
      <c r="G47" s="76" t="e">
        <f>+F47</f>
        <v>#N/A</v>
      </c>
      <c r="H47" s="52"/>
      <c r="U47" s="42"/>
    </row>
    <row r="48" spans="1:21" s="39" customFormat="1" ht="15.75" x14ac:dyDescent="0.25">
      <c r="A48" s="71"/>
      <c r="B48" s="105" t="s">
        <v>94</v>
      </c>
      <c r="C48" s="77"/>
      <c r="D48" s="106"/>
      <c r="E48" s="75"/>
      <c r="F48" s="75"/>
      <c r="G48" s="76"/>
      <c r="H48" s="52"/>
      <c r="U48" s="42"/>
    </row>
    <row r="49" spans="1:21" s="39" customFormat="1" ht="15.75" x14ac:dyDescent="0.25">
      <c r="A49" s="71" t="s">
        <v>273</v>
      </c>
      <c r="B49" s="72"/>
      <c r="C49" s="77" t="s">
        <v>75</v>
      </c>
      <c r="D49" s="89"/>
      <c r="E49" s="75">
        <f>IF(SUM(G7:G8)=0,0,VLOOKUP('DataInfo(Input)'!C5,BandInfo!C:H,6,"false"))</f>
        <v>0</v>
      </c>
      <c r="F49" s="75">
        <f>+E49</f>
        <v>0</v>
      </c>
      <c r="G49" s="76"/>
      <c r="H49" s="52"/>
      <c r="U49" s="42"/>
    </row>
    <row r="50" spans="1:21" s="39" customFormat="1" x14ac:dyDescent="0.25">
      <c r="A50" s="104" t="s">
        <v>109</v>
      </c>
      <c r="B50" s="77"/>
      <c r="C50" s="77" t="s">
        <v>236</v>
      </c>
      <c r="D50" s="74">
        <f>+'DataInfo(Input)'!B12+'DataInfo(Input)'!B15</f>
        <v>0</v>
      </c>
      <c r="E50" s="92">
        <f>+FormulaFactors!C67</f>
        <v>120</v>
      </c>
      <c r="F50" s="75">
        <f>+D50*E50</f>
        <v>0</v>
      </c>
      <c r="G50" s="76"/>
      <c r="H50" s="52"/>
      <c r="U50" s="42"/>
    </row>
    <row r="51" spans="1:21" s="39" customFormat="1" ht="15.75" x14ac:dyDescent="0.25">
      <c r="A51" s="71" t="s">
        <v>234</v>
      </c>
      <c r="B51" s="105"/>
      <c r="C51" s="77" t="s">
        <v>93</v>
      </c>
      <c r="D51" s="107">
        <f>+'DataInfo(Input)'!B14+'DataInfo(Input)'!B16</f>
        <v>0</v>
      </c>
      <c r="E51" s="92">
        <f>+FormulaFactors!C65</f>
        <v>20</v>
      </c>
      <c r="F51" s="75">
        <f>+D51*E51</f>
        <v>0</v>
      </c>
      <c r="G51" s="76"/>
      <c r="H51" s="108"/>
      <c r="U51" s="42"/>
    </row>
    <row r="52" spans="1:21" s="39" customFormat="1" ht="15.75" x14ac:dyDescent="0.25">
      <c r="A52" s="109" t="s">
        <v>104</v>
      </c>
      <c r="B52" s="105"/>
      <c r="C52" s="73" t="s">
        <v>235</v>
      </c>
      <c r="D52" s="74">
        <f>SUM('DataInfo(Input)'!D14:H14)*FormulaFactors!C69+SUM('DataInfo(Input)'!I14:R14)*FormulaFactors!C70+'DataInfo(Input)'!B16*FormulaFactors!C71</f>
        <v>0</v>
      </c>
      <c r="E52" s="92">
        <f>IF(D52&lt;=FormulaFactors!C73,FormulaFactors!C72,IF('Estimator(Output)'!D52&lt;=FormulaFactors!C75,FormulaFactors!C74,IF('Estimator(Output)'!D52&lt;=FormulaFactors!C77,FormulaFactors!C76,FormulaFactors!C78)))</f>
        <v>993.5</v>
      </c>
      <c r="F52" s="75">
        <f>+D52*E52</f>
        <v>0</v>
      </c>
      <c r="G52" s="76"/>
      <c r="H52" s="52"/>
      <c r="U52" s="42"/>
    </row>
    <row r="53" spans="1:21" s="39" customFormat="1" ht="15.75" x14ac:dyDescent="0.25">
      <c r="A53" s="109" t="s">
        <v>134</v>
      </c>
      <c r="B53" s="105"/>
      <c r="C53" s="73" t="s">
        <v>125</v>
      </c>
      <c r="D53" s="110">
        <f>FormulaFactors!C80</f>
        <v>1195</v>
      </c>
      <c r="E53" s="92">
        <f>'DataInfo(Input)'!B14</f>
        <v>0</v>
      </c>
      <c r="F53" s="75">
        <f>E53*D53</f>
        <v>0</v>
      </c>
      <c r="G53" s="76">
        <f>SUM(F49:F53)</f>
        <v>0</v>
      </c>
      <c r="H53" s="52"/>
      <c r="U53" s="42"/>
    </row>
    <row r="54" spans="1:21" s="39" customFormat="1" ht="15.75" x14ac:dyDescent="0.25">
      <c r="A54" s="111"/>
      <c r="B54" s="112"/>
      <c r="C54" s="81"/>
      <c r="D54" s="82"/>
      <c r="E54" s="83"/>
      <c r="F54" s="83"/>
      <c r="G54" s="84"/>
      <c r="U54" s="42"/>
    </row>
    <row r="55" spans="1:21" s="39" customFormat="1" ht="15.75" x14ac:dyDescent="0.25">
      <c r="A55" s="104" t="s">
        <v>108</v>
      </c>
      <c r="B55" s="105" t="s">
        <v>107</v>
      </c>
      <c r="C55" s="77"/>
      <c r="D55" s="89"/>
      <c r="E55" s="75"/>
      <c r="F55" s="75"/>
      <c r="G55" s="76"/>
      <c r="U55" s="42"/>
    </row>
    <row r="56" spans="1:21" s="39" customFormat="1" ht="15.75" x14ac:dyDescent="0.25">
      <c r="A56" s="71"/>
      <c r="B56" s="105"/>
      <c r="C56" s="77" t="s">
        <v>107</v>
      </c>
      <c r="D56" s="106"/>
      <c r="E56" s="75"/>
      <c r="F56" s="75"/>
      <c r="G56" s="76">
        <f>IFERROR(IF(O65=0,0,O69),0)</f>
        <v>0</v>
      </c>
      <c r="H56" s="52"/>
      <c r="U56" s="42"/>
    </row>
    <row r="57" spans="1:21" s="39" customFormat="1" ht="16.5" thickBot="1" x14ac:dyDescent="0.3">
      <c r="A57" s="109"/>
      <c r="B57" s="113"/>
      <c r="C57" s="114"/>
      <c r="D57" s="115"/>
      <c r="E57" s="116"/>
      <c r="F57" s="116"/>
      <c r="G57" s="117"/>
      <c r="I57" s="216" t="str">
        <f>"This is an estimate only, based on existing information (for planning purposes). This will not be 100% precise."</f>
        <v>This is an estimate only, based on existing information (for planning purposes). This will not be 100% precise.</v>
      </c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118"/>
      <c r="U57" s="42"/>
    </row>
    <row r="58" spans="1:21" s="39" customFormat="1" ht="19.5" thickBot="1" x14ac:dyDescent="0.35">
      <c r="A58" s="119"/>
      <c r="B58" s="120" t="s">
        <v>92</v>
      </c>
      <c r="C58" s="121"/>
      <c r="D58" s="122"/>
      <c r="E58" s="121"/>
      <c r="F58" s="123"/>
      <c r="G58" s="124" t="e">
        <f>IF('DataInfo(Input)'!B26=0,"No Schools in this community; Therefore no funding.",SUM(G7:G53)+G56)</f>
        <v>#N/A</v>
      </c>
      <c r="H58" s="133"/>
      <c r="I58" s="134">
        <f>'DataInfo(Input)'!D18</f>
        <v>0</v>
      </c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42"/>
    </row>
    <row r="59" spans="1:21" hidden="1" x14ac:dyDescent="0.25">
      <c r="O59" s="88"/>
    </row>
    <row r="60" spans="1:21" hidden="1" x14ac:dyDescent="0.25">
      <c r="O60" s="88"/>
    </row>
    <row r="61" spans="1:21" x14ac:dyDescent="0.25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2"/>
      <c r="P61" s="131"/>
      <c r="Q61" s="131"/>
      <c r="R61" s="131"/>
      <c r="S61" s="131"/>
      <c r="T61" s="131"/>
    </row>
    <row r="62" spans="1:21" s="126" customFormat="1" hidden="1" x14ac:dyDescent="0.25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2"/>
      <c r="P62" s="131"/>
      <c r="Q62" s="131"/>
      <c r="R62" s="131"/>
      <c r="S62" s="131"/>
      <c r="T62" s="131"/>
    </row>
    <row r="63" spans="1:21" s="126" customFormat="1" hidden="1" x14ac:dyDescent="0.25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2"/>
      <c r="P63" s="131"/>
      <c r="Q63" s="131"/>
      <c r="R63" s="131"/>
      <c r="S63" s="131"/>
      <c r="T63" s="131"/>
    </row>
    <row r="64" spans="1:21" s="126" customFormat="1" hidden="1" x14ac:dyDescent="0.25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2"/>
      <c r="P64" s="131"/>
      <c r="Q64" s="131"/>
      <c r="R64" s="131"/>
      <c r="S64" s="131"/>
      <c r="T64" s="131"/>
    </row>
    <row r="65" spans="1:20" x14ac:dyDescent="0.25">
      <c r="A65" s="129"/>
      <c r="B65" s="129" t="str">
        <f>"Funding by Category"&amp;": "&amp;C3</f>
        <v>Funding by Category: 0</v>
      </c>
      <c r="C65" s="129"/>
      <c r="D65" s="129"/>
      <c r="E65" s="129"/>
      <c r="F65" s="129"/>
      <c r="G65" s="129"/>
      <c r="H65" s="129"/>
      <c r="I65" s="129"/>
      <c r="J65" s="129"/>
      <c r="K65" s="129" t="s">
        <v>112</v>
      </c>
      <c r="L65" s="129"/>
      <c r="M65" s="129"/>
      <c r="N65" s="129"/>
      <c r="O65" s="130" t="e">
        <f>SUM(G7:G53)</f>
        <v>#N/A</v>
      </c>
      <c r="P65" s="129"/>
      <c r="Q65" s="129"/>
      <c r="R65" s="129"/>
      <c r="S65" s="129"/>
      <c r="T65" s="131"/>
    </row>
    <row r="66" spans="1:20" x14ac:dyDescent="0.2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 t="s">
        <v>135</v>
      </c>
      <c r="L66" s="129"/>
      <c r="M66" s="129"/>
      <c r="N66" s="129"/>
      <c r="O66" s="130" t="e">
        <f>VLOOKUP(D3,HistoricalFunding!$C:$G,2,0)</f>
        <v>#N/A</v>
      </c>
      <c r="P66" s="129"/>
      <c r="Q66" s="129"/>
      <c r="R66" s="129"/>
      <c r="S66" s="129"/>
      <c r="T66" s="131"/>
    </row>
    <row r="67" spans="1:20" x14ac:dyDescent="0.2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 t="s">
        <v>116</v>
      </c>
      <c r="L67" s="129"/>
      <c r="M67" s="129"/>
      <c r="N67" s="129"/>
      <c r="O67" s="130" t="e">
        <f>IF(O65&gt;=O66,0,(O65-O66))</f>
        <v>#N/A</v>
      </c>
      <c r="P67" s="129"/>
      <c r="Q67" s="129"/>
      <c r="R67" s="129"/>
      <c r="S67" s="129"/>
      <c r="T67" s="131"/>
    </row>
    <row r="68" spans="1:20" x14ac:dyDescent="0.2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 t="s">
        <v>117</v>
      </c>
      <c r="L68" s="129"/>
      <c r="M68" s="129"/>
      <c r="N68" s="129"/>
      <c r="O68" s="130" t="e">
        <f>O66*-0.015</f>
        <v>#N/A</v>
      </c>
      <c r="P68" s="129"/>
      <c r="Q68" s="129"/>
      <c r="R68" s="129"/>
      <c r="S68" s="129"/>
      <c r="T68" s="131"/>
    </row>
    <row r="69" spans="1:20" x14ac:dyDescent="0.2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 t="s">
        <v>118</v>
      </c>
      <c r="L69" s="129"/>
      <c r="M69" s="129"/>
      <c r="N69" s="129"/>
      <c r="O69" s="130" t="e">
        <f>IF(O67&lt;O68,-(O67-O68),0)</f>
        <v>#N/A</v>
      </c>
      <c r="P69" s="129"/>
      <c r="Q69" s="129"/>
      <c r="R69" s="129"/>
      <c r="S69" s="129"/>
      <c r="T69" s="131"/>
    </row>
    <row r="70" spans="1:20" hidden="1" x14ac:dyDescent="0.25"/>
    <row r="71" spans="1:20" hidden="1" x14ac:dyDescent="0.25"/>
    <row r="72" spans="1:20" hidden="1" x14ac:dyDescent="0.25"/>
    <row r="73" spans="1:20" hidden="1" x14ac:dyDescent="0.25"/>
    <row r="74" spans="1:20" hidden="1" x14ac:dyDescent="0.25"/>
    <row r="75" spans="1:20" hidden="1" x14ac:dyDescent="0.25"/>
    <row r="76" spans="1:20" hidden="1" x14ac:dyDescent="0.25"/>
    <row r="77" spans="1:20" hidden="1" x14ac:dyDescent="0.25"/>
    <row r="78" spans="1:20" hidden="1" x14ac:dyDescent="0.25"/>
    <row r="79" spans="1:20" hidden="1" x14ac:dyDescent="0.25"/>
    <row r="80" spans="1:2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</sheetData>
  <sheetProtection algorithmName="SHA-512" hashValue="etx7G8tUq47YrHPa+z/+as8lATR8tvTpFlMJGl3kHWB/V9I4AqRpmpF2sm5JmmxO8V8IO4k2kLGZBTcoPGHHcw==" saltValue="dWEwntzMA6H/1osi59WGnQ==" spinCount="100000" sheet="1" objects="1" scenarios="1" selectLockedCells="1" selectUnlockedCells="1"/>
  <mergeCells count="3">
    <mergeCell ref="B1:E1"/>
    <mergeCell ref="B6:C6"/>
    <mergeCell ref="I57:S57"/>
  </mergeCells>
  <conditionalFormatting sqref="G58">
    <cfRule type="containsText" dxfId="1" priority="2" operator="containsText" text="No">
      <formula>NOT(ISERROR(SEARCH("No",G58)))</formula>
    </cfRule>
  </conditionalFormatting>
  <conditionalFormatting sqref="I58">
    <cfRule type="containsText" dxfId="0" priority="1" operator="containsText" text="custom">
      <formula>NOT(ISERROR(SEARCH("custom",I58)))</formula>
    </cfRule>
  </conditionalFormatting>
  <pageMargins left="0.25" right="0.25" top="0.75" bottom="0.75" header="0.3" footer="0.3"/>
  <pageSetup scale="51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89"/>
  <sheetViews>
    <sheetView topLeftCell="J8" zoomScaleNormal="100" workbookViewId="0">
      <selection activeCell="J1" sqref="A1:XFD7"/>
    </sheetView>
  </sheetViews>
  <sheetFormatPr defaultColWidth="9.140625" defaultRowHeight="15" x14ac:dyDescent="0.25"/>
  <cols>
    <col min="1" max="1" width="2.140625" style="127" hidden="1" customWidth="1"/>
    <col min="2" max="2" width="60.140625" style="127" hidden="1" customWidth="1"/>
    <col min="3" max="3" width="13" style="127" hidden="1" customWidth="1"/>
    <col min="4" max="8" width="9.140625" style="127" hidden="1" customWidth="1"/>
    <col min="9" max="9" width="0" style="127" hidden="1" customWidth="1"/>
    <col min="10" max="16384" width="9.140625" style="127"/>
  </cols>
  <sheetData>
    <row r="1" spans="2:3" ht="15.75" hidden="1" x14ac:dyDescent="0.25">
      <c r="B1" s="219" t="s">
        <v>0</v>
      </c>
      <c r="C1" s="220"/>
    </row>
    <row r="2" spans="2:3" ht="15.75" hidden="1" x14ac:dyDescent="0.25">
      <c r="B2" s="221" t="s">
        <v>1</v>
      </c>
      <c r="C2" s="222"/>
    </row>
    <row r="3" spans="2:3" ht="6.75" hidden="1" customHeight="1" x14ac:dyDescent="0.25">
      <c r="B3" s="176"/>
      <c r="C3" s="177"/>
    </row>
    <row r="4" spans="2:3" hidden="1" x14ac:dyDescent="0.25">
      <c r="B4" s="178"/>
      <c r="C4" s="179" t="s">
        <v>263</v>
      </c>
    </row>
    <row r="5" spans="2:3" s="180" customFormat="1" ht="15.75" hidden="1" x14ac:dyDescent="0.25">
      <c r="B5" s="217"/>
      <c r="C5" s="218"/>
    </row>
    <row r="6" spans="2:3" hidden="1" x14ac:dyDescent="0.25">
      <c r="B6" s="178"/>
      <c r="C6" s="181"/>
    </row>
    <row r="7" spans="2:3" hidden="1" x14ac:dyDescent="0.25">
      <c r="B7" s="182" t="s">
        <v>86</v>
      </c>
      <c r="C7" s="183">
        <v>7885</v>
      </c>
    </row>
    <row r="8" spans="2:3" x14ac:dyDescent="0.25">
      <c r="B8" s="182"/>
      <c r="C8" s="183"/>
    </row>
    <row r="9" spans="2:3" x14ac:dyDescent="0.25">
      <c r="B9" s="182" t="s">
        <v>2</v>
      </c>
      <c r="C9" s="184">
        <v>0.01</v>
      </c>
    </row>
    <row r="10" spans="2:3" x14ac:dyDescent="0.25">
      <c r="B10" s="182" t="s">
        <v>3</v>
      </c>
      <c r="C10" s="184">
        <v>0.04</v>
      </c>
    </row>
    <row r="11" spans="2:3" x14ac:dyDescent="0.25">
      <c r="B11" s="182" t="s">
        <v>4</v>
      </c>
      <c r="C11" s="185">
        <v>0.5</v>
      </c>
    </row>
    <row r="12" spans="2:3" x14ac:dyDescent="0.25">
      <c r="B12" s="182" t="s">
        <v>5</v>
      </c>
      <c r="C12" s="185">
        <v>0.75</v>
      </c>
    </row>
    <row r="13" spans="2:3" x14ac:dyDescent="0.25">
      <c r="B13" s="182"/>
      <c r="C13" s="185"/>
    </row>
    <row r="14" spans="2:3" x14ac:dyDescent="0.25">
      <c r="B14" s="182" t="s">
        <v>6</v>
      </c>
      <c r="C14" s="185">
        <v>7.0000000000000007E-2</v>
      </c>
    </row>
    <row r="15" spans="2:3" x14ac:dyDescent="0.25">
      <c r="B15" s="182" t="s">
        <v>7</v>
      </c>
      <c r="C15" s="186">
        <v>0.5</v>
      </c>
    </row>
    <row r="16" spans="2:3" x14ac:dyDescent="0.25">
      <c r="B16" s="182"/>
      <c r="C16" s="181"/>
    </row>
    <row r="17" spans="1:4" x14ac:dyDescent="0.25">
      <c r="B17" s="182" t="s">
        <v>264</v>
      </c>
      <c r="C17" s="187">
        <v>0.22600000000000001</v>
      </c>
    </row>
    <row r="18" spans="1:4" x14ac:dyDescent="0.25">
      <c r="B18" s="182" t="s">
        <v>265</v>
      </c>
      <c r="C18" s="183">
        <v>1585</v>
      </c>
    </row>
    <row r="19" spans="1:4" x14ac:dyDescent="0.25">
      <c r="B19" s="182"/>
      <c r="C19" s="183"/>
    </row>
    <row r="20" spans="1:4" x14ac:dyDescent="0.25">
      <c r="B20" s="182" t="s">
        <v>87</v>
      </c>
      <c r="C20" s="183">
        <v>1565</v>
      </c>
    </row>
    <row r="21" spans="1:4" x14ac:dyDescent="0.25">
      <c r="B21" s="182"/>
      <c r="C21" s="183"/>
    </row>
    <row r="22" spans="1:4" x14ac:dyDescent="0.25">
      <c r="B22" s="182" t="s">
        <v>88</v>
      </c>
      <c r="C22" s="183">
        <v>7885</v>
      </c>
    </row>
    <row r="23" spans="1:4" x14ac:dyDescent="0.25">
      <c r="B23" s="182"/>
      <c r="C23" s="183"/>
    </row>
    <row r="24" spans="1:4" x14ac:dyDescent="0.25">
      <c r="B24" s="182" t="s">
        <v>268</v>
      </c>
      <c r="C24" s="188">
        <v>139.79</v>
      </c>
      <c r="D24" s="128"/>
    </row>
    <row r="25" spans="1:4" x14ac:dyDescent="0.25">
      <c r="B25" s="182"/>
      <c r="C25" s="183"/>
    </row>
    <row r="26" spans="1:4" x14ac:dyDescent="0.25">
      <c r="B26" s="182" t="s">
        <v>89</v>
      </c>
      <c r="C26" s="189">
        <v>180.33</v>
      </c>
    </row>
    <row r="27" spans="1:4" x14ac:dyDescent="0.25">
      <c r="B27" s="178"/>
      <c r="C27" s="181"/>
    </row>
    <row r="28" spans="1:4" x14ac:dyDescent="0.25">
      <c r="B28" s="182" t="s">
        <v>266</v>
      </c>
      <c r="C28" s="181">
        <v>7</v>
      </c>
    </row>
    <row r="29" spans="1:4" x14ac:dyDescent="0.25">
      <c r="A29" s="190"/>
      <c r="B29" s="182" t="s">
        <v>8</v>
      </c>
      <c r="C29" s="181">
        <v>110</v>
      </c>
    </row>
    <row r="30" spans="1:4" x14ac:dyDescent="0.25">
      <c r="B30" s="191" t="s">
        <v>9</v>
      </c>
      <c r="C30" s="181">
        <v>250</v>
      </c>
    </row>
    <row r="31" spans="1:4" x14ac:dyDescent="0.25">
      <c r="B31" s="191" t="s">
        <v>267</v>
      </c>
      <c r="C31" s="183">
        <v>105500</v>
      </c>
    </row>
    <row r="32" spans="1:4" x14ac:dyDescent="0.25">
      <c r="B32" s="191" t="s">
        <v>10</v>
      </c>
      <c r="C32" s="183">
        <v>221417</v>
      </c>
    </row>
    <row r="33" spans="2:3" x14ac:dyDescent="0.25">
      <c r="B33" s="191" t="s">
        <v>11</v>
      </c>
      <c r="C33" s="183">
        <v>1581.55</v>
      </c>
    </row>
    <row r="34" spans="2:3" x14ac:dyDescent="0.25">
      <c r="B34" s="178"/>
      <c r="C34" s="181"/>
    </row>
    <row r="35" spans="2:3" x14ac:dyDescent="0.25">
      <c r="B35" s="191" t="s">
        <v>52</v>
      </c>
      <c r="C35" s="192">
        <v>15</v>
      </c>
    </row>
    <row r="36" spans="2:3" x14ac:dyDescent="0.25">
      <c r="B36" s="191" t="s">
        <v>53</v>
      </c>
      <c r="C36" s="192">
        <v>75</v>
      </c>
    </row>
    <row r="37" spans="2:3" x14ac:dyDescent="0.25">
      <c r="B37" s="191" t="s">
        <v>54</v>
      </c>
      <c r="C37" s="193">
        <v>224900</v>
      </c>
    </row>
    <row r="38" spans="2:3" x14ac:dyDescent="0.25">
      <c r="B38" s="191" t="s">
        <v>55</v>
      </c>
      <c r="C38" s="193">
        <v>252800</v>
      </c>
    </row>
    <row r="39" spans="2:3" x14ac:dyDescent="0.25">
      <c r="B39" s="178"/>
      <c r="C39" s="181"/>
    </row>
    <row r="40" spans="2:3" x14ac:dyDescent="0.25">
      <c r="B40" s="191" t="s">
        <v>12</v>
      </c>
      <c r="C40" s="181">
        <v>100</v>
      </c>
    </row>
    <row r="41" spans="2:3" x14ac:dyDescent="0.25">
      <c r="B41" s="191" t="s">
        <v>13</v>
      </c>
      <c r="C41" s="181">
        <v>635</v>
      </c>
    </row>
    <row r="42" spans="2:3" x14ac:dyDescent="0.25">
      <c r="B42" s="191" t="s">
        <v>14</v>
      </c>
      <c r="C42" s="183">
        <v>6371.85</v>
      </c>
    </row>
    <row r="43" spans="2:3" x14ac:dyDescent="0.25">
      <c r="B43" s="191" t="s">
        <v>15</v>
      </c>
      <c r="C43" s="183">
        <v>637185</v>
      </c>
    </row>
    <row r="44" spans="2:3" x14ac:dyDescent="0.25">
      <c r="B44" s="191" t="s">
        <v>16</v>
      </c>
      <c r="C44" s="183">
        <v>1191</v>
      </c>
    </row>
    <row r="45" spans="2:3" x14ac:dyDescent="0.25">
      <c r="B45" s="178"/>
      <c r="C45" s="181"/>
    </row>
    <row r="46" spans="2:3" x14ac:dyDescent="0.25">
      <c r="B46" s="191" t="s">
        <v>17</v>
      </c>
      <c r="C46" s="181">
        <v>15</v>
      </c>
    </row>
    <row r="47" spans="2:3" x14ac:dyDescent="0.25">
      <c r="B47" s="191" t="s">
        <v>18</v>
      </c>
      <c r="C47" s="181">
        <v>215</v>
      </c>
    </row>
    <row r="48" spans="2:3" x14ac:dyDescent="0.25">
      <c r="B48" s="191" t="s">
        <v>19</v>
      </c>
      <c r="C48" s="183">
        <v>17194</v>
      </c>
    </row>
    <row r="49" spans="2:4" x14ac:dyDescent="0.25">
      <c r="B49" s="191" t="s">
        <v>20</v>
      </c>
      <c r="C49" s="183">
        <v>257910</v>
      </c>
    </row>
    <row r="50" spans="2:4" x14ac:dyDescent="0.25">
      <c r="B50" s="191" t="s">
        <v>21</v>
      </c>
      <c r="C50" s="183">
        <v>1289.55</v>
      </c>
    </row>
    <row r="51" spans="2:4" x14ac:dyDescent="0.25">
      <c r="B51" s="178"/>
      <c r="C51" s="181"/>
    </row>
    <row r="52" spans="2:4" x14ac:dyDescent="0.25">
      <c r="B52" s="191" t="s">
        <v>22</v>
      </c>
      <c r="C52" s="194">
        <v>2130</v>
      </c>
    </row>
    <row r="53" spans="2:4" x14ac:dyDescent="0.25">
      <c r="B53" s="191" t="s">
        <v>23</v>
      </c>
      <c r="C53" s="194">
        <v>53240</v>
      </c>
    </row>
    <row r="54" spans="2:4" x14ac:dyDescent="0.25">
      <c r="B54" s="191"/>
      <c r="C54" s="183"/>
    </row>
    <row r="55" spans="2:4" x14ac:dyDescent="0.25">
      <c r="B55" s="191" t="s">
        <v>68</v>
      </c>
      <c r="C55" s="186">
        <v>0.2</v>
      </c>
      <c r="D55" s="128"/>
    </row>
    <row r="56" spans="2:4" x14ac:dyDescent="0.25">
      <c r="B56" s="191"/>
      <c r="C56" s="186"/>
      <c r="D56" s="128"/>
    </row>
    <row r="57" spans="2:4" x14ac:dyDescent="0.25">
      <c r="B57" s="191" t="s">
        <v>69</v>
      </c>
      <c r="C57" s="186">
        <v>0.05</v>
      </c>
      <c r="D57" s="128"/>
    </row>
    <row r="58" spans="2:4" x14ac:dyDescent="0.25">
      <c r="B58" s="178"/>
      <c r="C58" s="181"/>
      <c r="D58" s="128"/>
    </row>
    <row r="59" spans="2:4" s="128" customFormat="1" x14ac:dyDescent="0.25">
      <c r="B59" s="191" t="s">
        <v>71</v>
      </c>
      <c r="C59" s="195" t="s">
        <v>228</v>
      </c>
    </row>
    <row r="60" spans="2:4" x14ac:dyDescent="0.25">
      <c r="B60" s="178"/>
      <c r="C60" s="181"/>
      <c r="D60" s="128"/>
    </row>
    <row r="61" spans="2:4" x14ac:dyDescent="0.25">
      <c r="B61" s="182" t="s">
        <v>229</v>
      </c>
      <c r="C61" s="196">
        <v>9</v>
      </c>
      <c r="D61" s="128"/>
    </row>
    <row r="62" spans="2:4" x14ac:dyDescent="0.25">
      <c r="B62" s="178"/>
      <c r="C62" s="181"/>
    </row>
    <row r="63" spans="2:4" x14ac:dyDescent="0.25">
      <c r="B63" s="191" t="s">
        <v>24</v>
      </c>
      <c r="C63" s="197">
        <v>0.2079</v>
      </c>
    </row>
    <row r="64" spans="2:4" x14ac:dyDescent="0.25">
      <c r="B64" s="178"/>
      <c r="C64" s="181"/>
    </row>
    <row r="65" spans="2:4" x14ac:dyDescent="0.25">
      <c r="B65" s="191" t="s">
        <v>25</v>
      </c>
      <c r="C65" s="183">
        <v>20</v>
      </c>
    </row>
    <row r="66" spans="2:4" x14ac:dyDescent="0.25">
      <c r="B66" s="191"/>
      <c r="C66" s="183"/>
    </row>
    <row r="67" spans="2:4" x14ac:dyDescent="0.25">
      <c r="B67" s="182" t="s">
        <v>26</v>
      </c>
      <c r="C67" s="183">
        <v>120</v>
      </c>
    </row>
    <row r="68" spans="2:4" x14ac:dyDescent="0.25">
      <c r="B68" s="182"/>
      <c r="C68" s="183"/>
    </row>
    <row r="69" spans="2:4" x14ac:dyDescent="0.25">
      <c r="B69" s="182" t="s">
        <v>105</v>
      </c>
      <c r="C69" s="184">
        <v>1</v>
      </c>
    </row>
    <row r="70" spans="2:4" x14ac:dyDescent="0.25">
      <c r="B70" s="191" t="s">
        <v>106</v>
      </c>
      <c r="C70" s="184">
        <v>0.8</v>
      </c>
    </row>
    <row r="71" spans="2:4" x14ac:dyDescent="0.25">
      <c r="B71" s="191" t="s">
        <v>95</v>
      </c>
      <c r="C71" s="184">
        <v>0.5</v>
      </c>
    </row>
    <row r="72" spans="2:4" x14ac:dyDescent="0.25">
      <c r="B72" s="191" t="s">
        <v>96</v>
      </c>
      <c r="C72" s="189">
        <v>993.5</v>
      </c>
    </row>
    <row r="73" spans="2:4" x14ac:dyDescent="0.25">
      <c r="B73" s="191" t="s">
        <v>97</v>
      </c>
      <c r="C73" s="198">
        <v>23</v>
      </c>
    </row>
    <row r="74" spans="2:4" x14ac:dyDescent="0.25">
      <c r="B74" s="191" t="s">
        <v>98</v>
      </c>
      <c r="C74" s="189">
        <v>864.6</v>
      </c>
    </row>
    <row r="75" spans="2:4" x14ac:dyDescent="0.25">
      <c r="B75" s="191" t="s">
        <v>99</v>
      </c>
      <c r="C75" s="198">
        <v>35</v>
      </c>
    </row>
    <row r="76" spans="2:4" x14ac:dyDescent="0.25">
      <c r="B76" s="191" t="s">
        <v>100</v>
      </c>
      <c r="C76" s="189">
        <v>713.8</v>
      </c>
    </row>
    <row r="77" spans="2:4" x14ac:dyDescent="0.25">
      <c r="B77" s="191" t="s">
        <v>101</v>
      </c>
      <c r="C77" s="198">
        <v>47</v>
      </c>
    </row>
    <row r="78" spans="2:4" x14ac:dyDescent="0.25">
      <c r="B78" s="191" t="s">
        <v>102</v>
      </c>
      <c r="C78" s="189">
        <v>547.29999999999995</v>
      </c>
    </row>
    <row r="79" spans="2:4" x14ac:dyDescent="0.25">
      <c r="B79" s="191"/>
      <c r="C79" s="189"/>
    </row>
    <row r="80" spans="2:4" x14ac:dyDescent="0.25">
      <c r="B80" s="191" t="s">
        <v>119</v>
      </c>
      <c r="C80" s="189">
        <v>1195</v>
      </c>
      <c r="D80" s="128"/>
    </row>
    <row r="81" spans="2:5" s="128" customFormat="1" x14ac:dyDescent="0.25">
      <c r="B81" s="199"/>
      <c r="C81" s="200"/>
    </row>
    <row r="84" spans="2:5" x14ac:dyDescent="0.25">
      <c r="B84" s="128"/>
      <c r="C84" s="128"/>
      <c r="D84" s="128"/>
      <c r="E84" s="128"/>
    </row>
    <row r="85" spans="2:5" x14ac:dyDescent="0.25">
      <c r="B85" s="128"/>
      <c r="C85" s="128"/>
      <c r="D85" s="128"/>
      <c r="E85" s="128"/>
    </row>
    <row r="86" spans="2:5" x14ac:dyDescent="0.25">
      <c r="B86" s="128"/>
      <c r="C86" s="128"/>
      <c r="D86" s="128"/>
      <c r="E86" s="128"/>
    </row>
    <row r="87" spans="2:5" x14ac:dyDescent="0.25">
      <c r="B87" s="128"/>
      <c r="C87" s="128"/>
      <c r="D87" s="128"/>
      <c r="E87" s="128"/>
    </row>
    <row r="88" spans="2:5" x14ac:dyDescent="0.25">
      <c r="C88" s="128"/>
    </row>
    <row r="89" spans="2:5" x14ac:dyDescent="0.25">
      <c r="C89" s="128"/>
    </row>
  </sheetData>
  <sheetProtection algorithmName="SHA-512" hashValue="waTKYMEu10+uU3jUpYgOBp5q/8ssCUfR7ldiurNZY6T/tuI0QTO6K4ghYaOj3TIaVsSNN27jpJFK+qGlYmI/zw==" saltValue="1kgZEPUtGJuV5o+m/JPS5A==" spinCount="100000" sheet="1" objects="1" scenarios="1" selectLockedCells="1" selectUnlockedCells="1"/>
  <mergeCells count="3">
    <mergeCell ref="B5:C5"/>
    <mergeCell ref="B1:C1"/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N103"/>
  <sheetViews>
    <sheetView zoomScaleNormal="100" zoomScalePageLayoutView="110" workbookViewId="0">
      <pane ySplit="2" topLeftCell="A3" activePane="bottomLeft" state="frozen"/>
      <selection pane="bottomLeft" sqref="A1:XFD6"/>
    </sheetView>
  </sheetViews>
  <sheetFormatPr defaultColWidth="9.140625" defaultRowHeight="12.75" x14ac:dyDescent="0.2"/>
  <cols>
    <col min="1" max="1" width="3.28515625" style="137" hidden="1" customWidth="1"/>
    <col min="2" max="2" width="42.42578125" style="137" hidden="1" customWidth="1"/>
    <col min="3" max="3" width="22.7109375" style="138" hidden="1" customWidth="1"/>
    <col min="4" max="4" width="8.28515625" style="137" hidden="1" customWidth="1"/>
    <col min="5" max="5" width="42.42578125" style="137" hidden="1" customWidth="1"/>
    <col min="6" max="6" width="8.85546875" style="137" hidden="1" customWidth="1"/>
    <col min="7" max="10" width="15.7109375" style="137" hidden="1" customWidth="1"/>
    <col min="11" max="11" width="12.85546875" style="137" hidden="1" customWidth="1"/>
    <col min="12" max="14" width="9.140625" style="137" hidden="1" customWidth="1"/>
    <col min="15" max="16" width="9.140625" style="137" customWidth="1"/>
    <col min="17" max="16384" width="9.140625" style="137"/>
  </cols>
  <sheetData>
    <row r="1" spans="2:11" ht="30" hidden="1" customHeight="1" x14ac:dyDescent="0.2"/>
    <row r="2" spans="2:11" s="142" customFormat="1" ht="25.5" hidden="1" x14ac:dyDescent="0.25">
      <c r="B2" s="139" t="s">
        <v>90</v>
      </c>
      <c r="C2" s="140" t="s">
        <v>65</v>
      </c>
      <c r="D2" s="140" t="s">
        <v>103</v>
      </c>
      <c r="E2" s="140" t="s">
        <v>120</v>
      </c>
      <c r="F2" s="140" t="s">
        <v>121</v>
      </c>
      <c r="G2" s="140" t="s">
        <v>63</v>
      </c>
      <c r="H2" s="140" t="s">
        <v>67</v>
      </c>
      <c r="I2" s="140" t="s">
        <v>122</v>
      </c>
      <c r="J2" s="140" t="s">
        <v>123</v>
      </c>
      <c r="K2" s="141" t="s">
        <v>70</v>
      </c>
    </row>
    <row r="3" spans="2:11" hidden="1" x14ac:dyDescent="0.2">
      <c r="B3" s="143" t="s">
        <v>174</v>
      </c>
      <c r="C3" s="144">
        <v>602</v>
      </c>
      <c r="D3" s="144">
        <v>5</v>
      </c>
      <c r="E3" s="145" t="s">
        <v>175</v>
      </c>
      <c r="F3" s="146" t="s">
        <v>64</v>
      </c>
      <c r="G3" s="147">
        <v>1</v>
      </c>
      <c r="H3" s="148">
        <v>21480</v>
      </c>
      <c r="I3" s="149">
        <v>0.18909999999999999</v>
      </c>
      <c r="J3" s="150">
        <v>0.14499999999999999</v>
      </c>
      <c r="K3" s="151">
        <v>403.81</v>
      </c>
    </row>
    <row r="4" spans="2:11" hidden="1" x14ac:dyDescent="0.2">
      <c r="B4" s="143" t="s">
        <v>209</v>
      </c>
      <c r="C4" s="144">
        <v>684</v>
      </c>
      <c r="D4" s="152">
        <v>73</v>
      </c>
      <c r="E4" s="145" t="s">
        <v>210</v>
      </c>
      <c r="F4" s="146" t="s">
        <v>64</v>
      </c>
      <c r="G4" s="147">
        <v>1</v>
      </c>
      <c r="H4" s="148">
        <v>18000</v>
      </c>
      <c r="I4" s="149">
        <v>0.17219999999999999</v>
      </c>
      <c r="J4" s="150">
        <v>3.5499999999999997E-2</v>
      </c>
      <c r="K4" s="151">
        <v>260.58</v>
      </c>
    </row>
    <row r="5" spans="2:11" hidden="1" x14ac:dyDescent="0.2">
      <c r="B5" s="143" t="s">
        <v>146</v>
      </c>
      <c r="C5" s="144">
        <v>547</v>
      </c>
      <c r="D5" s="144">
        <v>60</v>
      </c>
      <c r="E5" s="145" t="s">
        <v>147</v>
      </c>
      <c r="F5" s="146" t="s">
        <v>64</v>
      </c>
      <c r="G5" s="147">
        <v>1</v>
      </c>
      <c r="H5" s="148">
        <v>15600</v>
      </c>
      <c r="I5" s="149">
        <v>0</v>
      </c>
      <c r="J5" s="150">
        <v>0</v>
      </c>
      <c r="K5" s="151">
        <v>363.8</v>
      </c>
    </row>
    <row r="6" spans="2:11" hidden="1" x14ac:dyDescent="0.2">
      <c r="B6" s="143" t="s">
        <v>186</v>
      </c>
      <c r="C6" s="144">
        <v>622</v>
      </c>
      <c r="D6" s="144">
        <v>72</v>
      </c>
      <c r="E6" s="145" t="s">
        <v>187</v>
      </c>
      <c r="F6" s="146" t="s">
        <v>64</v>
      </c>
      <c r="G6" s="147">
        <v>1</v>
      </c>
      <c r="H6" s="148">
        <v>14188</v>
      </c>
      <c r="I6" s="149">
        <v>3.27E-2</v>
      </c>
      <c r="J6" s="150">
        <v>6.6799999999999998E-2</v>
      </c>
      <c r="K6" s="151">
        <v>340.02</v>
      </c>
    </row>
    <row r="7" spans="2:11" x14ac:dyDescent="0.2">
      <c r="B7" s="143" t="s">
        <v>213</v>
      </c>
      <c r="C7" s="144">
        <v>693</v>
      </c>
      <c r="D7" s="144">
        <v>58</v>
      </c>
      <c r="E7" s="145" t="s">
        <v>214</v>
      </c>
      <c r="F7" s="146" t="s">
        <v>64</v>
      </c>
      <c r="G7" s="147">
        <v>1</v>
      </c>
      <c r="H7" s="148">
        <v>30000</v>
      </c>
      <c r="I7" s="149">
        <v>0.1464</v>
      </c>
      <c r="J7" s="150">
        <v>5.1799999999999999E-2</v>
      </c>
      <c r="K7" s="151">
        <v>368.54</v>
      </c>
    </row>
    <row r="8" spans="2:11" x14ac:dyDescent="0.2">
      <c r="B8" s="143" t="s">
        <v>192</v>
      </c>
      <c r="C8" s="144">
        <v>642</v>
      </c>
      <c r="D8" s="144">
        <v>79</v>
      </c>
      <c r="E8" s="145" t="s">
        <v>193</v>
      </c>
      <c r="F8" s="146" t="s">
        <v>64</v>
      </c>
      <c r="G8" s="147">
        <v>3</v>
      </c>
      <c r="H8" s="148">
        <v>21263</v>
      </c>
      <c r="I8" s="149">
        <v>4.1500000000000002E-2</v>
      </c>
      <c r="J8" s="150">
        <v>6.1400000000000003E-2</v>
      </c>
      <c r="K8" s="151">
        <v>234.48</v>
      </c>
    </row>
    <row r="9" spans="2:11" x14ac:dyDescent="0.2">
      <c r="B9" s="143" t="s">
        <v>136</v>
      </c>
      <c r="C9" s="144">
        <v>561</v>
      </c>
      <c r="D9" s="144">
        <v>78</v>
      </c>
      <c r="E9" s="145" t="s">
        <v>155</v>
      </c>
      <c r="F9" s="146" t="s">
        <v>66</v>
      </c>
      <c r="G9" s="147">
        <v>1</v>
      </c>
      <c r="H9" s="148">
        <v>10366</v>
      </c>
      <c r="I9" s="149">
        <v>6.0900000000000003E-2</v>
      </c>
      <c r="J9" s="150">
        <v>4.1300000000000003E-2</v>
      </c>
      <c r="K9" s="151">
        <v>646.65</v>
      </c>
    </row>
    <row r="10" spans="2:11" x14ac:dyDescent="0.2">
      <c r="B10" s="143" t="s">
        <v>190</v>
      </c>
      <c r="C10" s="144">
        <v>636</v>
      </c>
      <c r="D10" s="144">
        <v>85</v>
      </c>
      <c r="E10" s="145" t="s">
        <v>188</v>
      </c>
      <c r="F10" s="146" t="s">
        <v>66</v>
      </c>
      <c r="G10" s="147">
        <v>1</v>
      </c>
      <c r="H10" s="148">
        <v>12960</v>
      </c>
      <c r="I10" s="149">
        <v>6.1800000000000001E-2</v>
      </c>
      <c r="J10" s="150">
        <v>0.1321</v>
      </c>
      <c r="K10" s="151">
        <v>564.70000000000005</v>
      </c>
    </row>
    <row r="11" spans="2:11" x14ac:dyDescent="0.2">
      <c r="B11" s="143" t="s">
        <v>220</v>
      </c>
      <c r="C11" s="144">
        <v>711</v>
      </c>
      <c r="D11" s="144">
        <v>27</v>
      </c>
      <c r="E11" s="145" t="s">
        <v>219</v>
      </c>
      <c r="F11" s="146" t="s">
        <v>64</v>
      </c>
      <c r="G11" s="147">
        <v>1</v>
      </c>
      <c r="H11" s="148">
        <v>14400</v>
      </c>
      <c r="I11" s="149">
        <v>0.2261</v>
      </c>
      <c r="J11" s="150">
        <v>8.7599999999999997E-2</v>
      </c>
      <c r="K11" s="151">
        <v>862.28</v>
      </c>
    </row>
    <row r="12" spans="2:11" x14ac:dyDescent="0.2">
      <c r="B12" s="143" t="s">
        <v>143</v>
      </c>
      <c r="C12" s="144">
        <v>543</v>
      </c>
      <c r="D12" s="144">
        <v>81</v>
      </c>
      <c r="E12" s="145" t="s">
        <v>144</v>
      </c>
      <c r="F12" s="146" t="s">
        <v>64</v>
      </c>
      <c r="G12" s="147">
        <v>1</v>
      </c>
      <c r="H12" s="148">
        <v>70604</v>
      </c>
      <c r="I12" s="149">
        <v>0.38419999999999999</v>
      </c>
      <c r="J12" s="150">
        <v>0.26300000000000001</v>
      </c>
      <c r="K12" s="151">
        <v>229.05</v>
      </c>
    </row>
    <row r="13" spans="2:11" x14ac:dyDescent="0.2">
      <c r="B13" s="153" t="s">
        <v>255</v>
      </c>
      <c r="C13" s="154">
        <v>535</v>
      </c>
      <c r="D13" s="144">
        <v>82</v>
      </c>
      <c r="E13" s="145" t="s">
        <v>138</v>
      </c>
      <c r="F13" s="146" t="s">
        <v>64</v>
      </c>
      <c r="G13" s="147">
        <v>1</v>
      </c>
      <c r="H13" s="148">
        <v>19200</v>
      </c>
      <c r="I13" s="149">
        <v>0.14729999999999999</v>
      </c>
      <c r="J13" s="150">
        <v>0.2029</v>
      </c>
      <c r="K13" s="151">
        <v>662.53</v>
      </c>
    </row>
    <row r="14" spans="2:11" x14ac:dyDescent="0.2">
      <c r="B14" s="143" t="s">
        <v>139</v>
      </c>
      <c r="C14" s="144">
        <v>536</v>
      </c>
      <c r="D14" s="144">
        <v>82</v>
      </c>
      <c r="E14" s="145" t="s">
        <v>138</v>
      </c>
      <c r="F14" s="146" t="s">
        <v>64</v>
      </c>
      <c r="G14" s="147">
        <v>2</v>
      </c>
      <c r="H14" s="148">
        <v>25200</v>
      </c>
      <c r="I14" s="149">
        <v>0.14729999999999999</v>
      </c>
      <c r="J14" s="150">
        <v>0.2029</v>
      </c>
      <c r="K14" s="151">
        <v>662.53</v>
      </c>
    </row>
    <row r="15" spans="2:11" x14ac:dyDescent="0.2">
      <c r="B15" s="143" t="s">
        <v>204</v>
      </c>
      <c r="C15" s="144">
        <v>672</v>
      </c>
      <c r="D15" s="144">
        <v>52</v>
      </c>
      <c r="E15" s="145" t="s">
        <v>205</v>
      </c>
      <c r="F15" s="146" t="s">
        <v>64</v>
      </c>
      <c r="G15" s="147">
        <v>1</v>
      </c>
      <c r="H15" s="148">
        <v>18000</v>
      </c>
      <c r="I15" s="149">
        <v>8.3299999999999999E-2</v>
      </c>
      <c r="J15" s="150">
        <v>0.2319</v>
      </c>
      <c r="K15" s="151">
        <v>346.72</v>
      </c>
    </row>
    <row r="16" spans="2:11" x14ac:dyDescent="0.2">
      <c r="B16" s="143" t="s">
        <v>226</v>
      </c>
      <c r="C16" s="144">
        <v>724</v>
      </c>
      <c r="D16" s="144">
        <v>85</v>
      </c>
      <c r="E16" s="145" t="s">
        <v>188</v>
      </c>
      <c r="F16" s="146" t="s">
        <v>64</v>
      </c>
      <c r="G16" s="147">
        <v>1</v>
      </c>
      <c r="H16" s="148">
        <v>12460</v>
      </c>
      <c r="I16" s="149">
        <v>6.1800000000000001E-2</v>
      </c>
      <c r="J16" s="150">
        <v>0.1321</v>
      </c>
      <c r="K16" s="151">
        <v>564.70000000000005</v>
      </c>
    </row>
    <row r="17" spans="2:11" x14ac:dyDescent="0.2">
      <c r="B17" s="143" t="s">
        <v>208</v>
      </c>
      <c r="C17" s="144">
        <v>683</v>
      </c>
      <c r="D17" s="144">
        <v>87</v>
      </c>
      <c r="E17" s="145" t="s">
        <v>182</v>
      </c>
      <c r="F17" s="146" t="s">
        <v>64</v>
      </c>
      <c r="G17" s="147">
        <v>1</v>
      </c>
      <c r="H17" s="148">
        <v>79020</v>
      </c>
      <c r="I17" s="149">
        <v>0.3498</v>
      </c>
      <c r="J17" s="150">
        <v>0.35389999999999999</v>
      </c>
      <c r="K17" s="151">
        <v>1657.77</v>
      </c>
    </row>
    <row r="18" spans="2:11" x14ac:dyDescent="0.2">
      <c r="B18" s="143" t="s">
        <v>256</v>
      </c>
      <c r="C18" s="144">
        <v>540</v>
      </c>
      <c r="D18" s="144">
        <v>49</v>
      </c>
      <c r="E18" s="145" t="s">
        <v>140</v>
      </c>
      <c r="F18" s="146" t="s">
        <v>66</v>
      </c>
      <c r="G18" s="147">
        <v>1</v>
      </c>
      <c r="H18" s="148">
        <v>27600</v>
      </c>
      <c r="I18" s="149">
        <v>7.0300000000000001E-2</v>
      </c>
      <c r="J18" s="150">
        <v>0.21479999999999999</v>
      </c>
      <c r="K18" s="151">
        <v>2447.5300000000002</v>
      </c>
    </row>
    <row r="19" spans="2:11" x14ac:dyDescent="0.2">
      <c r="B19" s="153" t="s">
        <v>206</v>
      </c>
      <c r="C19" s="154">
        <v>680</v>
      </c>
      <c r="D19" s="144">
        <v>82</v>
      </c>
      <c r="E19" s="145" t="s">
        <v>138</v>
      </c>
      <c r="F19" s="146" t="s">
        <v>64</v>
      </c>
      <c r="G19" s="147">
        <v>1</v>
      </c>
      <c r="H19" s="148">
        <v>19200</v>
      </c>
      <c r="I19" s="149">
        <v>0</v>
      </c>
      <c r="J19" s="150">
        <v>0</v>
      </c>
      <c r="K19" s="151">
        <v>662.53</v>
      </c>
    </row>
    <row r="20" spans="2:11" x14ac:dyDescent="0.2">
      <c r="B20" s="143" t="s">
        <v>207</v>
      </c>
      <c r="C20" s="144">
        <v>681</v>
      </c>
      <c r="D20" s="155">
        <v>82</v>
      </c>
      <c r="E20" s="145" t="s">
        <v>138</v>
      </c>
      <c r="F20" s="146" t="s">
        <v>64</v>
      </c>
      <c r="G20" s="147">
        <v>1</v>
      </c>
      <c r="H20" s="148">
        <v>19700</v>
      </c>
      <c r="I20" s="149">
        <v>0.14729999999999999</v>
      </c>
      <c r="J20" s="150">
        <v>0.2029</v>
      </c>
      <c r="K20" s="151">
        <v>662.53</v>
      </c>
    </row>
    <row r="21" spans="2:11" x14ac:dyDescent="0.2">
      <c r="B21" s="143" t="s">
        <v>181</v>
      </c>
      <c r="C21" s="144">
        <v>610</v>
      </c>
      <c r="D21" s="154">
        <v>87</v>
      </c>
      <c r="E21" s="145" t="s">
        <v>182</v>
      </c>
      <c r="F21" s="146" t="s">
        <v>66</v>
      </c>
      <c r="G21" s="147">
        <v>2</v>
      </c>
      <c r="H21" s="148">
        <v>25220</v>
      </c>
      <c r="I21" s="149">
        <v>0.3498</v>
      </c>
      <c r="J21" s="150">
        <v>0.35389999999999999</v>
      </c>
      <c r="K21" s="151">
        <v>1657.77</v>
      </c>
    </row>
    <row r="22" spans="2:11" x14ac:dyDescent="0.2">
      <c r="B22" s="143" t="s">
        <v>259</v>
      </c>
      <c r="C22" s="144">
        <v>626</v>
      </c>
      <c r="D22" s="144">
        <v>85</v>
      </c>
      <c r="E22" s="145" t="s">
        <v>188</v>
      </c>
      <c r="F22" s="146" t="s">
        <v>64</v>
      </c>
      <c r="G22" s="147">
        <v>1</v>
      </c>
      <c r="H22" s="148">
        <v>9600</v>
      </c>
      <c r="I22" s="149">
        <v>6.1800000000000001E-2</v>
      </c>
      <c r="J22" s="150">
        <v>0.1321</v>
      </c>
      <c r="K22" s="151">
        <v>564.70000000000005</v>
      </c>
    </row>
    <row r="23" spans="2:11" x14ac:dyDescent="0.2">
      <c r="B23" s="143" t="s">
        <v>153</v>
      </c>
      <c r="C23" s="144">
        <v>557</v>
      </c>
      <c r="D23" s="144">
        <v>48</v>
      </c>
      <c r="E23" s="145" t="s">
        <v>240</v>
      </c>
      <c r="F23" s="146" t="s">
        <v>64</v>
      </c>
      <c r="G23" s="147">
        <v>1</v>
      </c>
      <c r="H23" s="148">
        <v>17700</v>
      </c>
      <c r="I23" s="149">
        <v>0.1065</v>
      </c>
      <c r="J23" s="150">
        <v>0</v>
      </c>
      <c r="K23" s="151">
        <v>353.91</v>
      </c>
    </row>
    <row r="24" spans="2:11" x14ac:dyDescent="0.2">
      <c r="B24" s="143" t="s">
        <v>176</v>
      </c>
      <c r="C24" s="144">
        <v>606</v>
      </c>
      <c r="D24" s="144">
        <v>8</v>
      </c>
      <c r="E24" s="145" t="s">
        <v>177</v>
      </c>
      <c r="F24" s="146" t="s">
        <v>64</v>
      </c>
      <c r="G24" s="147">
        <v>1</v>
      </c>
      <c r="H24" s="148">
        <v>16800</v>
      </c>
      <c r="I24" s="149">
        <v>0.1196</v>
      </c>
      <c r="J24" s="150">
        <v>0.111</v>
      </c>
      <c r="K24" s="151">
        <v>492.21</v>
      </c>
    </row>
    <row r="25" spans="2:11" x14ac:dyDescent="0.2">
      <c r="B25" s="143" t="s">
        <v>215</v>
      </c>
      <c r="C25" s="144">
        <v>695</v>
      </c>
      <c r="D25" s="144">
        <v>58</v>
      </c>
      <c r="E25" s="145" t="s">
        <v>214</v>
      </c>
      <c r="F25" s="146" t="s">
        <v>64</v>
      </c>
      <c r="G25" s="147">
        <v>1</v>
      </c>
      <c r="H25" s="148">
        <v>18000</v>
      </c>
      <c r="I25" s="149">
        <v>0.1464</v>
      </c>
      <c r="J25" s="150">
        <v>5.1799999999999999E-2</v>
      </c>
      <c r="K25" s="151">
        <v>368.54</v>
      </c>
    </row>
    <row r="26" spans="2:11" x14ac:dyDescent="0.2">
      <c r="B26" s="143" t="s">
        <v>171</v>
      </c>
      <c r="C26" s="144">
        <v>598</v>
      </c>
      <c r="D26" s="144">
        <v>53</v>
      </c>
      <c r="E26" s="145" t="s">
        <v>168</v>
      </c>
      <c r="F26" s="146" t="s">
        <v>64</v>
      </c>
      <c r="G26" s="147">
        <v>1</v>
      </c>
      <c r="H26" s="148">
        <v>16800</v>
      </c>
      <c r="I26" s="149">
        <v>8.5599999999999996E-2</v>
      </c>
      <c r="J26" s="150">
        <v>7.5899999999999995E-2</v>
      </c>
      <c r="K26" s="151">
        <v>501.17</v>
      </c>
    </row>
    <row r="27" spans="2:11" x14ac:dyDescent="0.2">
      <c r="B27" s="143" t="s">
        <v>217</v>
      </c>
      <c r="C27" s="144">
        <v>705</v>
      </c>
      <c r="D27" s="144">
        <v>74</v>
      </c>
      <c r="E27" s="145" t="s">
        <v>164</v>
      </c>
      <c r="F27" s="146" t="s">
        <v>64</v>
      </c>
      <c r="G27" s="147">
        <v>1</v>
      </c>
      <c r="H27" s="148">
        <v>11850</v>
      </c>
      <c r="I27" s="149">
        <v>0.1245</v>
      </c>
      <c r="J27" s="150">
        <v>7.2700000000000001E-2</v>
      </c>
      <c r="K27" s="151">
        <v>1623.94</v>
      </c>
    </row>
    <row r="28" spans="2:11" x14ac:dyDescent="0.2">
      <c r="B28" s="143" t="s">
        <v>150</v>
      </c>
      <c r="C28" s="144">
        <v>550</v>
      </c>
      <c r="D28" s="154">
        <v>39</v>
      </c>
      <c r="E28" s="145" t="s">
        <v>151</v>
      </c>
      <c r="F28" s="146" t="s">
        <v>64</v>
      </c>
      <c r="G28" s="147">
        <v>1</v>
      </c>
      <c r="H28" s="148">
        <v>11188</v>
      </c>
      <c r="I28" s="149">
        <v>4.0000000000000001E-3</v>
      </c>
      <c r="J28" s="150">
        <v>0</v>
      </c>
      <c r="K28" s="151">
        <v>6.33</v>
      </c>
    </row>
    <row r="29" spans="2:11" x14ac:dyDescent="0.2">
      <c r="B29" s="143" t="s">
        <v>189</v>
      </c>
      <c r="C29" s="144">
        <v>631</v>
      </c>
      <c r="D29" s="144">
        <v>85</v>
      </c>
      <c r="E29" s="145" t="s">
        <v>188</v>
      </c>
      <c r="F29" s="146" t="s">
        <v>64</v>
      </c>
      <c r="G29" s="147">
        <v>1</v>
      </c>
      <c r="H29" s="148">
        <v>30432</v>
      </c>
      <c r="I29" s="149">
        <v>6.1800000000000001E-2</v>
      </c>
      <c r="J29" s="150">
        <v>0.1321</v>
      </c>
      <c r="K29" s="151">
        <v>564.70000000000005</v>
      </c>
    </row>
    <row r="30" spans="2:11" x14ac:dyDescent="0.2">
      <c r="B30" s="143" t="s">
        <v>194</v>
      </c>
      <c r="C30" s="144">
        <v>649</v>
      </c>
      <c r="D30" s="144">
        <v>68</v>
      </c>
      <c r="E30" s="145" t="s">
        <v>183</v>
      </c>
      <c r="F30" s="146" t="s">
        <v>64</v>
      </c>
      <c r="G30" s="147">
        <v>1</v>
      </c>
      <c r="H30" s="148">
        <v>12600</v>
      </c>
      <c r="I30" s="149">
        <v>0.03</v>
      </c>
      <c r="J30" s="150">
        <v>3.1699999999999999E-2</v>
      </c>
      <c r="K30" s="151">
        <v>108.02</v>
      </c>
    </row>
    <row r="31" spans="2:11" x14ac:dyDescent="0.2">
      <c r="B31" s="143" t="s">
        <v>212</v>
      </c>
      <c r="C31" s="144">
        <v>690</v>
      </c>
      <c r="D31" s="144">
        <v>73</v>
      </c>
      <c r="E31" s="145" t="s">
        <v>210</v>
      </c>
      <c r="F31" s="146" t="s">
        <v>64</v>
      </c>
      <c r="G31" s="147">
        <v>1</v>
      </c>
      <c r="H31" s="148">
        <v>18720</v>
      </c>
      <c r="I31" s="149">
        <v>0.17219999999999999</v>
      </c>
      <c r="J31" s="150">
        <v>3.5499999999999997E-2</v>
      </c>
      <c r="K31" s="151">
        <v>260.58</v>
      </c>
    </row>
    <row r="32" spans="2:11" x14ac:dyDescent="0.2">
      <c r="B32" s="143" t="s">
        <v>238</v>
      </c>
      <c r="C32" s="144">
        <v>539</v>
      </c>
      <c r="D32" s="144">
        <v>49</v>
      </c>
      <c r="E32" s="145" t="s">
        <v>140</v>
      </c>
      <c r="F32" s="146" t="s">
        <v>64</v>
      </c>
      <c r="G32" s="147">
        <v>3</v>
      </c>
      <c r="H32" s="148">
        <v>30000</v>
      </c>
      <c r="I32" s="149">
        <v>7.0300000000000001E-2</v>
      </c>
      <c r="J32" s="150">
        <v>0.21479999999999999</v>
      </c>
      <c r="K32" s="151">
        <v>2447.5300000000002</v>
      </c>
    </row>
    <row r="33" spans="2:11" x14ac:dyDescent="0.2">
      <c r="B33" s="143" t="s">
        <v>184</v>
      </c>
      <c r="C33" s="144">
        <v>616</v>
      </c>
      <c r="D33" s="154">
        <v>23</v>
      </c>
      <c r="E33" s="145" t="s">
        <v>261</v>
      </c>
      <c r="F33" s="146" t="s">
        <v>64</v>
      </c>
      <c r="G33" s="147">
        <v>1</v>
      </c>
      <c r="H33" s="148">
        <v>12216</v>
      </c>
      <c r="I33" s="149">
        <v>9.7900000000000001E-2</v>
      </c>
      <c r="J33" s="150">
        <v>3.95E-2</v>
      </c>
      <c r="K33" s="151">
        <v>131.22999999999999</v>
      </c>
    </row>
    <row r="34" spans="2:11" x14ac:dyDescent="0.2">
      <c r="B34" s="143" t="s">
        <v>202</v>
      </c>
      <c r="C34" s="144">
        <v>669</v>
      </c>
      <c r="D34" s="152">
        <v>50</v>
      </c>
      <c r="E34" s="145" t="s">
        <v>203</v>
      </c>
      <c r="F34" s="146" t="s">
        <v>64</v>
      </c>
      <c r="G34" s="147">
        <v>1</v>
      </c>
      <c r="H34" s="148">
        <v>23400</v>
      </c>
      <c r="I34" s="149">
        <v>8.0500000000000002E-2</v>
      </c>
      <c r="J34" s="150">
        <v>0.49469999999999997</v>
      </c>
      <c r="K34" s="151">
        <v>1681.39</v>
      </c>
    </row>
    <row r="35" spans="2:11" x14ac:dyDescent="0.2">
      <c r="B35" s="143" t="s">
        <v>167</v>
      </c>
      <c r="C35" s="144">
        <v>596</v>
      </c>
      <c r="D35" s="144">
        <v>53</v>
      </c>
      <c r="E35" s="145" t="s">
        <v>168</v>
      </c>
      <c r="F35" s="146" t="s">
        <v>64</v>
      </c>
      <c r="G35" s="147">
        <v>1</v>
      </c>
      <c r="H35" s="148">
        <v>14400</v>
      </c>
      <c r="I35" s="149">
        <v>8.5599999999999996E-2</v>
      </c>
      <c r="J35" s="150">
        <v>7.5899999999999995E-2</v>
      </c>
      <c r="K35" s="151">
        <v>501.17</v>
      </c>
    </row>
    <row r="36" spans="2:11" x14ac:dyDescent="0.2">
      <c r="B36" s="143" t="s">
        <v>201</v>
      </c>
      <c r="C36" s="144">
        <v>658</v>
      </c>
      <c r="D36" s="144">
        <v>62</v>
      </c>
      <c r="E36" s="145" t="s">
        <v>200</v>
      </c>
      <c r="F36" s="146" t="s">
        <v>64</v>
      </c>
      <c r="G36" s="147">
        <v>1</v>
      </c>
      <c r="H36" s="148">
        <v>8188</v>
      </c>
      <c r="I36" s="149">
        <v>2.6270000000000002E-2</v>
      </c>
      <c r="J36" s="150">
        <v>4.9700000000000001E-2</v>
      </c>
      <c r="K36" s="151">
        <v>136.99</v>
      </c>
    </row>
    <row r="37" spans="2:11" x14ac:dyDescent="0.2">
      <c r="B37" s="143" t="s">
        <v>195</v>
      </c>
      <c r="C37" s="144">
        <v>650</v>
      </c>
      <c r="D37" s="144">
        <v>79</v>
      </c>
      <c r="E37" s="145" t="s">
        <v>193</v>
      </c>
      <c r="F37" s="146" t="s">
        <v>64</v>
      </c>
      <c r="G37" s="147">
        <v>1</v>
      </c>
      <c r="H37" s="148">
        <v>12900</v>
      </c>
      <c r="I37" s="149">
        <v>4.1500000000000002E-2</v>
      </c>
      <c r="J37" s="150">
        <v>6.1400000000000003E-2</v>
      </c>
      <c r="K37" s="151">
        <v>234.48</v>
      </c>
    </row>
    <row r="38" spans="2:11" x14ac:dyDescent="0.2">
      <c r="B38" s="143" t="s">
        <v>169</v>
      </c>
      <c r="C38" s="144">
        <v>597</v>
      </c>
      <c r="D38" s="144">
        <v>67</v>
      </c>
      <c r="E38" s="145" t="s">
        <v>170</v>
      </c>
      <c r="F38" s="146" t="s">
        <v>64</v>
      </c>
      <c r="G38" s="147">
        <v>2</v>
      </c>
      <c r="H38" s="148">
        <v>31440</v>
      </c>
      <c r="I38" s="149">
        <v>7.6999999999999999E-2</v>
      </c>
      <c r="J38" s="150">
        <v>5.0799999999999998E-2</v>
      </c>
      <c r="K38" s="151">
        <v>162.53</v>
      </c>
    </row>
    <row r="39" spans="2:11" x14ac:dyDescent="0.2">
      <c r="B39" s="143" t="s">
        <v>145</v>
      </c>
      <c r="C39" s="144">
        <v>544</v>
      </c>
      <c r="D39" s="144">
        <v>81</v>
      </c>
      <c r="E39" s="145" t="s">
        <v>144</v>
      </c>
      <c r="F39" s="146" t="s">
        <v>66</v>
      </c>
      <c r="G39" s="147">
        <v>1</v>
      </c>
      <c r="H39" s="148">
        <v>52788</v>
      </c>
      <c r="I39" s="149">
        <v>0.38419999999999999</v>
      </c>
      <c r="J39" s="150">
        <v>0.26300000000000001</v>
      </c>
      <c r="K39" s="151">
        <v>229.05</v>
      </c>
    </row>
    <row r="40" spans="2:11" x14ac:dyDescent="0.2">
      <c r="B40" s="143" t="s">
        <v>260</v>
      </c>
      <c r="C40" s="144">
        <v>633</v>
      </c>
      <c r="D40" s="144">
        <v>85</v>
      </c>
      <c r="E40" s="145" t="s">
        <v>188</v>
      </c>
      <c r="F40" s="146" t="s">
        <v>64</v>
      </c>
      <c r="G40" s="147">
        <v>1</v>
      </c>
      <c r="H40" s="148">
        <v>21600</v>
      </c>
      <c r="I40" s="149">
        <v>6.1800000000000001E-2</v>
      </c>
      <c r="J40" s="150">
        <v>0.1321</v>
      </c>
      <c r="K40" s="151">
        <v>564.70000000000005</v>
      </c>
    </row>
    <row r="41" spans="2:11" x14ac:dyDescent="0.2">
      <c r="B41" s="143" t="s">
        <v>141</v>
      </c>
      <c r="C41" s="144">
        <v>542</v>
      </c>
      <c r="D41" s="154">
        <v>59</v>
      </c>
      <c r="E41" s="145" t="s">
        <v>142</v>
      </c>
      <c r="F41" s="146" t="s">
        <v>64</v>
      </c>
      <c r="G41" s="147">
        <v>2</v>
      </c>
      <c r="H41" s="148">
        <v>25200</v>
      </c>
      <c r="I41" s="149">
        <v>0.31219999999999998</v>
      </c>
      <c r="J41" s="150">
        <v>0.16880000000000001</v>
      </c>
      <c r="K41" s="151">
        <v>732.04</v>
      </c>
    </row>
    <row r="42" spans="2:11" x14ac:dyDescent="0.2">
      <c r="B42" s="143" t="s">
        <v>163</v>
      </c>
      <c r="C42" s="144">
        <v>581</v>
      </c>
      <c r="D42" s="144">
        <v>78</v>
      </c>
      <c r="E42" s="145" t="s">
        <v>155</v>
      </c>
      <c r="F42" s="146" t="s">
        <v>64</v>
      </c>
      <c r="G42" s="147">
        <v>3</v>
      </c>
      <c r="H42" s="148">
        <v>37351</v>
      </c>
      <c r="I42" s="149">
        <v>6.0900000000000003E-2</v>
      </c>
      <c r="J42" s="150">
        <v>4.1300000000000003E-2</v>
      </c>
      <c r="K42" s="151">
        <v>646.65</v>
      </c>
    </row>
    <row r="43" spans="2:11" x14ac:dyDescent="0.2">
      <c r="B43" s="143" t="s">
        <v>156</v>
      </c>
      <c r="C43" s="144">
        <v>562</v>
      </c>
      <c r="D43" s="144">
        <v>78</v>
      </c>
      <c r="E43" s="145" t="s">
        <v>155</v>
      </c>
      <c r="F43" s="146" t="s">
        <v>64</v>
      </c>
      <c r="G43" s="147">
        <v>1</v>
      </c>
      <c r="H43" s="148">
        <v>14400</v>
      </c>
      <c r="I43" s="149">
        <v>6.0900000000000003E-2</v>
      </c>
      <c r="J43" s="150">
        <v>4.1300000000000003E-2</v>
      </c>
      <c r="K43" s="151">
        <v>646.65</v>
      </c>
    </row>
    <row r="44" spans="2:11" x14ac:dyDescent="0.2">
      <c r="B44" s="143" t="s">
        <v>157</v>
      </c>
      <c r="C44" s="144">
        <v>573</v>
      </c>
      <c r="D44" s="144">
        <v>33</v>
      </c>
      <c r="E44" s="145" t="s">
        <v>158</v>
      </c>
      <c r="F44" s="146" t="s">
        <v>64</v>
      </c>
      <c r="G44" s="147">
        <v>1</v>
      </c>
      <c r="H44" s="148">
        <v>12208</v>
      </c>
      <c r="I44" s="149">
        <v>3.0200000000000001E-2</v>
      </c>
      <c r="J44" s="150">
        <v>1.4200000000000001E-2</v>
      </c>
      <c r="K44" s="151">
        <v>152.27000000000001</v>
      </c>
    </row>
    <row r="45" spans="2:11" x14ac:dyDescent="0.2">
      <c r="B45" s="143" t="s">
        <v>239</v>
      </c>
      <c r="C45" s="144">
        <v>648</v>
      </c>
      <c r="D45" s="144">
        <v>68</v>
      </c>
      <c r="E45" s="145" t="s">
        <v>183</v>
      </c>
      <c r="F45" s="146" t="s">
        <v>64</v>
      </c>
      <c r="G45" s="147">
        <v>1</v>
      </c>
      <c r="H45" s="148">
        <v>16993</v>
      </c>
      <c r="I45" s="149">
        <v>0.03</v>
      </c>
      <c r="J45" s="150">
        <v>3.1699999999999999E-2</v>
      </c>
      <c r="K45" s="151">
        <v>108.02</v>
      </c>
    </row>
    <row r="46" spans="2:11" x14ac:dyDescent="0.2">
      <c r="B46" s="143" t="s">
        <v>198</v>
      </c>
      <c r="C46" s="144">
        <v>656</v>
      </c>
      <c r="D46" s="144">
        <v>61</v>
      </c>
      <c r="E46" s="145" t="s">
        <v>262</v>
      </c>
      <c r="F46" s="146" t="s">
        <v>64</v>
      </c>
      <c r="G46" s="147">
        <v>1</v>
      </c>
      <c r="H46" s="148">
        <v>11739</v>
      </c>
      <c r="I46" s="149">
        <v>1.2800000000000001E-2</v>
      </c>
      <c r="J46" s="150">
        <v>3.4200000000000001E-2</v>
      </c>
      <c r="K46" s="151">
        <v>6.17</v>
      </c>
    </row>
    <row r="47" spans="2:11" x14ac:dyDescent="0.2">
      <c r="B47" s="143" t="s">
        <v>172</v>
      </c>
      <c r="C47" s="144">
        <v>600</v>
      </c>
      <c r="D47" s="144">
        <v>83</v>
      </c>
      <c r="E47" s="145" t="s">
        <v>173</v>
      </c>
      <c r="F47" s="146" t="s">
        <v>64</v>
      </c>
      <c r="G47" s="147">
        <v>1</v>
      </c>
      <c r="H47" s="148">
        <v>15600</v>
      </c>
      <c r="I47" s="149">
        <v>0.13919999999999999</v>
      </c>
      <c r="J47" s="150">
        <v>0.13919999999999999</v>
      </c>
      <c r="K47" s="151">
        <v>611.92999999999995</v>
      </c>
    </row>
    <row r="48" spans="2:11" x14ac:dyDescent="0.2">
      <c r="B48" s="143" t="s">
        <v>152</v>
      </c>
      <c r="C48" s="144">
        <v>555</v>
      </c>
      <c r="D48" s="144">
        <v>44</v>
      </c>
      <c r="E48" s="145" t="s">
        <v>149</v>
      </c>
      <c r="F48" s="146" t="s">
        <v>64</v>
      </c>
      <c r="G48" s="147">
        <v>2</v>
      </c>
      <c r="H48" s="148">
        <v>27125</v>
      </c>
      <c r="I48" s="149">
        <v>9.9500000000000005E-2</v>
      </c>
      <c r="J48" s="150">
        <v>0</v>
      </c>
      <c r="K48" s="151">
        <v>15.44</v>
      </c>
    </row>
    <row r="49" spans="2:11" x14ac:dyDescent="0.2">
      <c r="B49" s="143" t="s">
        <v>159</v>
      </c>
      <c r="C49" s="144">
        <v>574</v>
      </c>
      <c r="D49" s="144">
        <v>36</v>
      </c>
      <c r="E49" s="145" t="s">
        <v>160</v>
      </c>
      <c r="F49" s="146" t="s">
        <v>64</v>
      </c>
      <c r="G49" s="147">
        <v>1</v>
      </c>
      <c r="H49" s="148">
        <v>16200</v>
      </c>
      <c r="I49" s="149">
        <v>2.12E-2</v>
      </c>
      <c r="J49" s="150">
        <v>0</v>
      </c>
      <c r="K49" s="151">
        <v>6.25</v>
      </c>
    </row>
    <row r="50" spans="2:11" x14ac:dyDescent="0.2">
      <c r="B50" s="153" t="s">
        <v>154</v>
      </c>
      <c r="C50" s="154">
        <v>559</v>
      </c>
      <c r="D50" s="144">
        <v>78</v>
      </c>
      <c r="E50" s="145" t="s">
        <v>155</v>
      </c>
      <c r="F50" s="146" t="s">
        <v>64</v>
      </c>
      <c r="G50" s="147">
        <v>1</v>
      </c>
      <c r="H50" s="148">
        <v>15708</v>
      </c>
      <c r="I50" s="149">
        <v>6.0900000000000003E-2</v>
      </c>
      <c r="J50" s="150">
        <v>4.1300000000000003E-2</v>
      </c>
      <c r="K50" s="151">
        <v>646.65</v>
      </c>
    </row>
    <row r="51" spans="2:11" x14ac:dyDescent="0.2">
      <c r="B51" s="143" t="s">
        <v>225</v>
      </c>
      <c r="C51" s="144">
        <v>723</v>
      </c>
      <c r="D51" s="144">
        <v>74</v>
      </c>
      <c r="E51" s="145" t="s">
        <v>164</v>
      </c>
      <c r="F51" s="146" t="s">
        <v>66</v>
      </c>
      <c r="G51" s="147">
        <v>1</v>
      </c>
      <c r="H51" s="148">
        <v>18000</v>
      </c>
      <c r="I51" s="149">
        <v>0.1245</v>
      </c>
      <c r="J51" s="150">
        <v>7.2700000000000001E-2</v>
      </c>
      <c r="K51" s="151">
        <v>1623.94</v>
      </c>
    </row>
    <row r="52" spans="2:11" x14ac:dyDescent="0.2">
      <c r="B52" s="143" t="s">
        <v>191</v>
      </c>
      <c r="C52" s="144">
        <v>641</v>
      </c>
      <c r="D52" s="144">
        <v>68</v>
      </c>
      <c r="E52" s="145" t="s">
        <v>183</v>
      </c>
      <c r="F52" s="146" t="s">
        <v>64</v>
      </c>
      <c r="G52" s="147">
        <v>3</v>
      </c>
      <c r="H52" s="148">
        <v>34020</v>
      </c>
      <c r="I52" s="149">
        <v>0.03</v>
      </c>
      <c r="J52" s="150">
        <v>3.1699999999999999E-2</v>
      </c>
      <c r="K52" s="151">
        <v>108.02</v>
      </c>
    </row>
    <row r="53" spans="2:11" x14ac:dyDescent="0.2">
      <c r="B53" s="143" t="s">
        <v>161</v>
      </c>
      <c r="C53" s="144">
        <v>578</v>
      </c>
      <c r="D53" s="144">
        <v>34</v>
      </c>
      <c r="E53" s="145" t="s">
        <v>162</v>
      </c>
      <c r="F53" s="146" t="s">
        <v>64</v>
      </c>
      <c r="G53" s="147">
        <v>1</v>
      </c>
      <c r="H53" s="148">
        <v>10800</v>
      </c>
      <c r="I53" s="149">
        <v>2.1499999999999998E-2</v>
      </c>
      <c r="J53" s="150">
        <v>0</v>
      </c>
      <c r="K53" s="151">
        <v>78.12</v>
      </c>
    </row>
    <row r="54" spans="2:11" x14ac:dyDescent="0.2">
      <c r="B54" s="143" t="s">
        <v>178</v>
      </c>
      <c r="C54" s="144">
        <v>608</v>
      </c>
      <c r="D54" s="144">
        <v>91</v>
      </c>
      <c r="E54" s="145" t="s">
        <v>179</v>
      </c>
      <c r="F54" s="146" t="s">
        <v>66</v>
      </c>
      <c r="G54" s="147">
        <v>1</v>
      </c>
      <c r="H54" s="148">
        <v>15600</v>
      </c>
      <c r="I54" s="149">
        <v>0.2621</v>
      </c>
      <c r="J54" s="150">
        <v>0.1197</v>
      </c>
      <c r="K54" s="151">
        <v>978.48</v>
      </c>
    </row>
    <row r="55" spans="2:11" x14ac:dyDescent="0.2">
      <c r="B55" s="143" t="s">
        <v>165</v>
      </c>
      <c r="C55" s="144">
        <v>593</v>
      </c>
      <c r="D55" s="144">
        <v>74</v>
      </c>
      <c r="E55" s="145" t="s">
        <v>164</v>
      </c>
      <c r="F55" s="146" t="s">
        <v>64</v>
      </c>
      <c r="G55" s="147">
        <v>1</v>
      </c>
      <c r="H55" s="148">
        <v>16200</v>
      </c>
      <c r="I55" s="149">
        <v>0.1245</v>
      </c>
      <c r="J55" s="150">
        <v>7.2700000000000001E-2</v>
      </c>
      <c r="K55" s="151">
        <v>1623.94</v>
      </c>
    </row>
    <row r="56" spans="2:11" x14ac:dyDescent="0.2">
      <c r="B56" s="143" t="s">
        <v>211</v>
      </c>
      <c r="C56" s="144">
        <v>688</v>
      </c>
      <c r="D56" s="144">
        <v>73</v>
      </c>
      <c r="E56" s="145" t="s">
        <v>210</v>
      </c>
      <c r="F56" s="146" t="s">
        <v>64</v>
      </c>
      <c r="G56" s="147">
        <v>2</v>
      </c>
      <c r="H56" s="148">
        <v>19200</v>
      </c>
      <c r="I56" s="149">
        <v>0.17219999999999999</v>
      </c>
      <c r="J56" s="150">
        <v>3.5499999999999997E-2</v>
      </c>
      <c r="K56" s="151">
        <v>260.58</v>
      </c>
    </row>
    <row r="57" spans="2:11" x14ac:dyDescent="0.2">
      <c r="B57" s="143" t="s">
        <v>185</v>
      </c>
      <c r="C57" s="144">
        <v>617</v>
      </c>
      <c r="D57" s="144">
        <v>91</v>
      </c>
      <c r="E57" s="145" t="s">
        <v>179</v>
      </c>
      <c r="F57" s="146" t="s">
        <v>66</v>
      </c>
      <c r="G57" s="147">
        <v>2</v>
      </c>
      <c r="H57" s="148">
        <v>27600</v>
      </c>
      <c r="I57" s="149">
        <v>0.26212000000000002</v>
      </c>
      <c r="J57" s="150">
        <v>0.1197</v>
      </c>
      <c r="K57" s="151">
        <v>1005.99</v>
      </c>
    </row>
    <row r="58" spans="2:11" x14ac:dyDescent="0.2">
      <c r="B58" s="143" t="s">
        <v>221</v>
      </c>
      <c r="C58" s="144">
        <v>712</v>
      </c>
      <c r="D58" s="144">
        <v>27</v>
      </c>
      <c r="E58" s="145" t="s">
        <v>219</v>
      </c>
      <c r="F58" s="146" t="s">
        <v>64</v>
      </c>
      <c r="G58" s="147">
        <v>1</v>
      </c>
      <c r="H58" s="148">
        <v>15600</v>
      </c>
      <c r="I58" s="149">
        <v>0.2261</v>
      </c>
      <c r="J58" s="150">
        <v>8.7599999999999997E-2</v>
      </c>
      <c r="K58" s="151">
        <v>862.28</v>
      </c>
    </row>
    <row r="59" spans="2:11" x14ac:dyDescent="0.2">
      <c r="B59" s="143" t="s">
        <v>166</v>
      </c>
      <c r="C59" s="144">
        <v>595</v>
      </c>
      <c r="D59" s="154">
        <v>74</v>
      </c>
      <c r="E59" s="145" t="s">
        <v>164</v>
      </c>
      <c r="F59" s="146" t="s">
        <v>66</v>
      </c>
      <c r="G59" s="147">
        <v>1</v>
      </c>
      <c r="H59" s="148">
        <v>14820</v>
      </c>
      <c r="I59" s="149">
        <v>0.1245</v>
      </c>
      <c r="J59" s="150">
        <v>7.2700000000000001E-2</v>
      </c>
      <c r="K59" s="151">
        <v>1623.94</v>
      </c>
    </row>
    <row r="60" spans="2:11" x14ac:dyDescent="0.2">
      <c r="B60" s="143" t="s">
        <v>196</v>
      </c>
      <c r="C60" s="144">
        <v>653</v>
      </c>
      <c r="D60" s="144">
        <v>63</v>
      </c>
      <c r="E60" s="145" t="s">
        <v>197</v>
      </c>
      <c r="F60" s="146" t="s">
        <v>64</v>
      </c>
      <c r="G60" s="147">
        <v>3</v>
      </c>
      <c r="H60" s="148">
        <v>29511</v>
      </c>
      <c r="I60" s="149">
        <v>1.37E-2</v>
      </c>
      <c r="J60" s="150">
        <v>4.3700000000000003E-2</v>
      </c>
      <c r="K60" s="151">
        <v>212.31</v>
      </c>
    </row>
    <row r="61" spans="2:11" x14ac:dyDescent="0.2">
      <c r="B61" s="143" t="s">
        <v>180</v>
      </c>
      <c r="C61" s="144">
        <v>609</v>
      </c>
      <c r="D61" s="155">
        <v>91</v>
      </c>
      <c r="E61" s="145" t="s">
        <v>179</v>
      </c>
      <c r="F61" s="146" t="s">
        <v>66</v>
      </c>
      <c r="G61" s="147">
        <v>1</v>
      </c>
      <c r="H61" s="148">
        <v>14400</v>
      </c>
      <c r="I61" s="149">
        <v>0.2621</v>
      </c>
      <c r="J61" s="150">
        <v>0.1197</v>
      </c>
      <c r="K61" s="151">
        <v>978.48</v>
      </c>
    </row>
    <row r="62" spans="2:11" x14ac:dyDescent="0.2">
      <c r="B62" s="143" t="s">
        <v>218</v>
      </c>
      <c r="C62" s="144">
        <v>710</v>
      </c>
      <c r="D62" s="144">
        <v>27</v>
      </c>
      <c r="E62" s="145" t="s">
        <v>219</v>
      </c>
      <c r="F62" s="146" t="s">
        <v>66</v>
      </c>
      <c r="G62" s="147">
        <v>1</v>
      </c>
      <c r="H62" s="148">
        <v>15600</v>
      </c>
      <c r="I62" s="149">
        <v>0.2261</v>
      </c>
      <c r="J62" s="150">
        <v>8.7599999999999997E-2</v>
      </c>
      <c r="K62" s="151">
        <v>862.28</v>
      </c>
    </row>
    <row r="63" spans="2:11" x14ac:dyDescent="0.2">
      <c r="B63" s="143" t="s">
        <v>258</v>
      </c>
      <c r="C63" s="144">
        <v>594</v>
      </c>
      <c r="D63" s="144">
        <v>74</v>
      </c>
      <c r="E63" s="145" t="s">
        <v>164</v>
      </c>
      <c r="F63" s="146" t="s">
        <v>66</v>
      </c>
      <c r="G63" s="147">
        <v>1</v>
      </c>
      <c r="H63" s="148">
        <v>16200</v>
      </c>
      <c r="I63" s="149">
        <v>0.1245</v>
      </c>
      <c r="J63" s="150">
        <v>7.2700000000000001E-2</v>
      </c>
      <c r="K63" s="151">
        <v>1623.94</v>
      </c>
    </row>
    <row r="64" spans="2:11" x14ac:dyDescent="0.2">
      <c r="B64" s="143" t="s">
        <v>148</v>
      </c>
      <c r="C64" s="144">
        <v>549</v>
      </c>
      <c r="D64" s="144">
        <v>44</v>
      </c>
      <c r="E64" s="145" t="s">
        <v>149</v>
      </c>
      <c r="F64" s="146" t="s">
        <v>64</v>
      </c>
      <c r="G64" s="147">
        <v>1</v>
      </c>
      <c r="H64" s="148">
        <v>11188</v>
      </c>
      <c r="I64" s="149">
        <v>9.9500000000000005E-2</v>
      </c>
      <c r="J64" s="150">
        <v>0</v>
      </c>
      <c r="K64" s="151">
        <v>15.44</v>
      </c>
    </row>
    <row r="65" spans="2:11" x14ac:dyDescent="0.2">
      <c r="B65" s="143" t="s">
        <v>199</v>
      </c>
      <c r="C65" s="144">
        <v>657</v>
      </c>
      <c r="D65" s="144">
        <v>62</v>
      </c>
      <c r="E65" s="145" t="s">
        <v>200</v>
      </c>
      <c r="F65" s="146" t="s">
        <v>64</v>
      </c>
      <c r="G65" s="147">
        <v>1</v>
      </c>
      <c r="H65" s="148">
        <v>14535</v>
      </c>
      <c r="I65" s="149">
        <v>2.63E-2</v>
      </c>
      <c r="J65" s="150">
        <v>4.9700000000000001E-2</v>
      </c>
      <c r="K65" s="151">
        <v>135.5</v>
      </c>
    </row>
    <row r="66" spans="2:11" x14ac:dyDescent="0.2">
      <c r="B66" s="153" t="s">
        <v>224</v>
      </c>
      <c r="C66" s="154">
        <v>722</v>
      </c>
      <c r="D66" s="144">
        <v>27</v>
      </c>
      <c r="E66" s="145" t="s">
        <v>219</v>
      </c>
      <c r="F66" s="146" t="s">
        <v>64</v>
      </c>
      <c r="G66" s="147">
        <v>1</v>
      </c>
      <c r="H66" s="148">
        <v>14400</v>
      </c>
      <c r="I66" s="149">
        <v>0.2261</v>
      </c>
      <c r="J66" s="150">
        <v>8.7599999999999997E-2</v>
      </c>
      <c r="K66" s="151">
        <v>862.28</v>
      </c>
    </row>
    <row r="67" spans="2:11" x14ac:dyDescent="0.2">
      <c r="B67" s="143" t="s">
        <v>216</v>
      </c>
      <c r="C67" s="144">
        <v>697</v>
      </c>
      <c r="D67" s="144">
        <v>58</v>
      </c>
      <c r="E67" s="145" t="s">
        <v>214</v>
      </c>
      <c r="F67" s="146" t="s">
        <v>66</v>
      </c>
      <c r="G67" s="147">
        <v>1</v>
      </c>
      <c r="H67" s="148">
        <v>21600</v>
      </c>
      <c r="I67" s="149">
        <v>0.1464</v>
      </c>
      <c r="J67" s="150">
        <v>5.1799999999999999E-2</v>
      </c>
      <c r="K67" s="151">
        <v>368.54</v>
      </c>
    </row>
    <row r="68" spans="2:11" x14ac:dyDescent="0.2">
      <c r="B68" s="143" t="s">
        <v>223</v>
      </c>
      <c r="C68" s="144">
        <v>719</v>
      </c>
      <c r="D68" s="144">
        <v>27</v>
      </c>
      <c r="E68" s="145" t="s">
        <v>219</v>
      </c>
      <c r="F68" s="156" t="s">
        <v>64</v>
      </c>
      <c r="G68" s="157">
        <v>1</v>
      </c>
      <c r="H68" s="148">
        <v>16200</v>
      </c>
      <c r="I68" s="149">
        <v>0.2261</v>
      </c>
      <c r="J68" s="150">
        <v>8.7599999999999997E-2</v>
      </c>
      <c r="K68" s="151">
        <v>862.28</v>
      </c>
    </row>
    <row r="69" spans="2:11" x14ac:dyDescent="0.2">
      <c r="B69" s="143" t="s">
        <v>137</v>
      </c>
      <c r="C69" s="144">
        <v>530</v>
      </c>
      <c r="D69" s="144">
        <v>82</v>
      </c>
      <c r="E69" s="145" t="s">
        <v>138</v>
      </c>
      <c r="F69" s="146" t="s">
        <v>64</v>
      </c>
      <c r="G69" s="147">
        <v>2</v>
      </c>
      <c r="H69" s="148">
        <v>13200</v>
      </c>
      <c r="I69" s="149">
        <v>0.14729999999999999</v>
      </c>
      <c r="J69" s="150">
        <v>0.2029</v>
      </c>
      <c r="K69" s="151">
        <v>662.53</v>
      </c>
    </row>
    <row r="70" spans="2:11" x14ac:dyDescent="0.2">
      <c r="B70" s="143" t="s">
        <v>257</v>
      </c>
      <c r="C70" s="144">
        <v>592</v>
      </c>
      <c r="D70" s="144">
        <v>74</v>
      </c>
      <c r="E70" s="145" t="s">
        <v>164</v>
      </c>
      <c r="F70" s="146" t="s">
        <v>64</v>
      </c>
      <c r="G70" s="147">
        <v>1</v>
      </c>
      <c r="H70" s="148">
        <v>16200</v>
      </c>
      <c r="I70" s="149">
        <v>0.1245</v>
      </c>
      <c r="J70" s="150">
        <v>7.2700000000000001E-2</v>
      </c>
      <c r="K70" s="151">
        <v>1623.94</v>
      </c>
    </row>
    <row r="71" spans="2:11" x14ac:dyDescent="0.2">
      <c r="B71" s="143" t="s">
        <v>227</v>
      </c>
      <c r="C71" s="144">
        <v>728</v>
      </c>
      <c r="D71" s="144">
        <v>91</v>
      </c>
      <c r="E71" s="145" t="s">
        <v>179</v>
      </c>
      <c r="F71" s="146" t="s">
        <v>66</v>
      </c>
      <c r="G71" s="147">
        <v>2</v>
      </c>
      <c r="H71" s="148">
        <v>34800</v>
      </c>
      <c r="I71" s="149">
        <v>0.26212000000000002</v>
      </c>
      <c r="J71" s="150">
        <v>0.1197</v>
      </c>
      <c r="K71" s="151">
        <v>1005.99</v>
      </c>
    </row>
    <row r="72" spans="2:11" x14ac:dyDescent="0.2">
      <c r="B72" s="143" t="s">
        <v>222</v>
      </c>
      <c r="C72" s="144">
        <v>717</v>
      </c>
      <c r="D72" s="144">
        <v>27</v>
      </c>
      <c r="E72" s="145" t="s">
        <v>219</v>
      </c>
      <c r="F72" s="146" t="s">
        <v>64</v>
      </c>
      <c r="G72" s="147">
        <v>1</v>
      </c>
      <c r="H72" s="148">
        <v>15600</v>
      </c>
      <c r="I72" s="149">
        <v>0.2261</v>
      </c>
      <c r="J72" s="150">
        <v>8.7599999999999997E-2</v>
      </c>
      <c r="K72" s="151">
        <v>862.28</v>
      </c>
    </row>
    <row r="73" spans="2:11" x14ac:dyDescent="0.2">
      <c r="B73" s="143"/>
      <c r="C73" s="144"/>
      <c r="D73" s="144"/>
      <c r="E73" s="145"/>
      <c r="F73" s="146"/>
      <c r="G73" s="147"/>
      <c r="H73" s="148"/>
      <c r="I73" s="149"/>
      <c r="J73" s="150"/>
      <c r="K73" s="151"/>
    </row>
    <row r="74" spans="2:11" x14ac:dyDescent="0.2">
      <c r="B74" s="143"/>
      <c r="C74" s="144"/>
      <c r="D74" s="152"/>
      <c r="E74" s="145"/>
      <c r="F74" s="146"/>
      <c r="G74" s="147"/>
      <c r="H74" s="148"/>
      <c r="I74" s="149"/>
      <c r="J74" s="150"/>
      <c r="K74" s="151"/>
    </row>
    <row r="75" spans="2:11" x14ac:dyDescent="0.2">
      <c r="B75" s="143"/>
      <c r="C75" s="144"/>
      <c r="D75" s="144"/>
      <c r="E75" s="145"/>
      <c r="F75" s="146"/>
      <c r="G75" s="147"/>
      <c r="H75" s="148"/>
      <c r="I75" s="149"/>
      <c r="J75" s="150"/>
      <c r="K75" s="151"/>
    </row>
    <row r="76" spans="2:11" x14ac:dyDescent="0.2">
      <c r="B76" s="143"/>
      <c r="C76" s="144"/>
      <c r="D76" s="144"/>
      <c r="E76" s="145"/>
      <c r="F76" s="146"/>
      <c r="G76" s="147"/>
      <c r="H76" s="148"/>
      <c r="I76" s="149"/>
      <c r="J76" s="150"/>
      <c r="K76" s="151"/>
    </row>
    <row r="77" spans="2:11" x14ac:dyDescent="0.2">
      <c r="B77" s="143"/>
      <c r="C77" s="144"/>
      <c r="D77" s="144"/>
      <c r="E77" s="145"/>
      <c r="F77" s="146"/>
      <c r="G77" s="147"/>
      <c r="H77" s="148"/>
      <c r="I77" s="149"/>
      <c r="J77" s="150"/>
      <c r="K77" s="151"/>
    </row>
    <row r="78" spans="2:11" x14ac:dyDescent="0.2">
      <c r="B78" s="143"/>
      <c r="C78" s="144"/>
      <c r="D78" s="144"/>
      <c r="E78" s="145"/>
      <c r="F78" s="146"/>
      <c r="G78" s="147"/>
      <c r="H78" s="148"/>
      <c r="I78" s="149"/>
      <c r="J78" s="150"/>
      <c r="K78" s="151"/>
    </row>
    <row r="79" spans="2:11" x14ac:dyDescent="0.2">
      <c r="B79" s="143"/>
      <c r="C79" s="144"/>
      <c r="D79" s="144"/>
      <c r="E79" s="145"/>
      <c r="F79" s="146"/>
      <c r="G79" s="147"/>
      <c r="H79" s="148"/>
      <c r="I79" s="149"/>
      <c r="J79" s="150"/>
      <c r="K79" s="151"/>
    </row>
    <row r="80" spans="2:11" x14ac:dyDescent="0.2">
      <c r="B80" s="143"/>
      <c r="C80" s="144"/>
      <c r="D80" s="144"/>
      <c r="E80" s="145"/>
      <c r="F80" s="146"/>
      <c r="G80" s="147"/>
      <c r="H80" s="148"/>
      <c r="I80" s="149"/>
      <c r="J80" s="150"/>
      <c r="K80" s="151"/>
    </row>
    <row r="81" spans="2:11" x14ac:dyDescent="0.2">
      <c r="B81" s="143"/>
      <c r="C81" s="144"/>
      <c r="D81" s="144"/>
      <c r="E81" s="145"/>
      <c r="F81" s="146"/>
      <c r="G81" s="147"/>
      <c r="H81" s="148"/>
      <c r="I81" s="149"/>
      <c r="J81" s="150"/>
      <c r="K81" s="151"/>
    </row>
    <row r="82" spans="2:11" x14ac:dyDescent="0.2">
      <c r="B82" s="143"/>
      <c r="C82" s="144"/>
      <c r="D82" s="144"/>
      <c r="E82" s="145"/>
      <c r="F82" s="146"/>
      <c r="G82" s="147"/>
      <c r="H82" s="148"/>
      <c r="I82" s="149"/>
      <c r="J82" s="150"/>
      <c r="K82" s="151"/>
    </row>
    <row r="83" spans="2:11" x14ac:dyDescent="0.2">
      <c r="B83" s="143"/>
      <c r="C83" s="144"/>
      <c r="D83" s="144"/>
      <c r="E83" s="145"/>
      <c r="F83" s="146"/>
      <c r="G83" s="147"/>
      <c r="H83" s="148"/>
      <c r="I83" s="149"/>
      <c r="J83" s="150"/>
      <c r="K83" s="151"/>
    </row>
    <row r="84" spans="2:11" x14ac:dyDescent="0.2">
      <c r="B84" s="143"/>
      <c r="C84" s="144"/>
      <c r="D84" s="144"/>
      <c r="E84" s="145"/>
      <c r="F84" s="146"/>
      <c r="G84" s="147"/>
      <c r="H84" s="148"/>
      <c r="I84" s="149"/>
      <c r="J84" s="150"/>
      <c r="K84" s="151"/>
    </row>
    <row r="85" spans="2:11" x14ac:dyDescent="0.2">
      <c r="B85" s="143"/>
      <c r="C85" s="144"/>
      <c r="D85" s="144"/>
      <c r="E85" s="145"/>
      <c r="F85" s="146"/>
      <c r="G85" s="147"/>
      <c r="H85" s="148"/>
      <c r="I85" s="149"/>
      <c r="J85" s="150"/>
      <c r="K85" s="151"/>
    </row>
    <row r="86" spans="2:11" x14ac:dyDescent="0.2">
      <c r="B86" s="143"/>
      <c r="C86" s="144"/>
      <c r="D86" s="144"/>
      <c r="E86" s="145"/>
      <c r="F86" s="146"/>
      <c r="G86" s="147"/>
      <c r="H86" s="148"/>
      <c r="I86" s="149"/>
      <c r="J86" s="150"/>
      <c r="K86" s="151"/>
    </row>
    <row r="87" spans="2:11" x14ac:dyDescent="0.2">
      <c r="B87" s="143"/>
      <c r="C87" s="144"/>
      <c r="D87" s="144"/>
      <c r="E87" s="145"/>
      <c r="F87" s="146"/>
      <c r="G87" s="147"/>
      <c r="H87" s="148"/>
      <c r="I87" s="149"/>
      <c r="J87" s="150"/>
      <c r="K87" s="151"/>
    </row>
    <row r="88" spans="2:11" x14ac:dyDescent="0.2">
      <c r="B88" s="143"/>
      <c r="C88" s="144"/>
      <c r="D88" s="144"/>
      <c r="E88" s="145"/>
      <c r="F88" s="146"/>
      <c r="G88" s="147"/>
      <c r="H88" s="148"/>
      <c r="I88" s="149"/>
      <c r="J88" s="150"/>
      <c r="K88" s="151"/>
    </row>
    <row r="89" spans="2:11" x14ac:dyDescent="0.2">
      <c r="B89" s="143"/>
      <c r="C89" s="144"/>
      <c r="D89" s="154"/>
      <c r="E89" s="145"/>
      <c r="F89" s="146"/>
      <c r="G89" s="147"/>
      <c r="H89" s="148"/>
      <c r="I89" s="149"/>
      <c r="J89" s="150"/>
      <c r="K89" s="151"/>
    </row>
    <row r="90" spans="2:11" x14ac:dyDescent="0.2">
      <c r="B90" s="143"/>
      <c r="C90" s="144"/>
      <c r="D90" s="144"/>
      <c r="E90" s="145"/>
      <c r="F90" s="146"/>
      <c r="G90" s="147"/>
      <c r="H90" s="148"/>
      <c r="I90" s="149"/>
      <c r="J90" s="150"/>
      <c r="K90" s="151"/>
    </row>
    <row r="91" spans="2:11" x14ac:dyDescent="0.2">
      <c r="B91" s="143"/>
      <c r="C91" s="144"/>
      <c r="D91" s="144"/>
      <c r="E91" s="145"/>
      <c r="F91" s="146"/>
      <c r="G91" s="147"/>
      <c r="H91" s="148"/>
      <c r="I91" s="149"/>
      <c r="J91" s="150"/>
      <c r="K91" s="151"/>
    </row>
    <row r="92" spans="2:11" x14ac:dyDescent="0.2">
      <c r="B92" s="143"/>
      <c r="C92" s="144"/>
      <c r="D92" s="144"/>
      <c r="E92" s="145"/>
      <c r="F92" s="146"/>
      <c r="G92" s="147"/>
      <c r="H92" s="148"/>
      <c r="I92" s="149"/>
      <c r="J92" s="150"/>
      <c r="K92" s="151"/>
    </row>
    <row r="93" spans="2:11" x14ac:dyDescent="0.2">
      <c r="B93" s="143"/>
      <c r="C93" s="144"/>
      <c r="D93" s="144"/>
      <c r="E93" s="145"/>
      <c r="F93" s="146"/>
      <c r="G93" s="147"/>
      <c r="H93" s="148"/>
      <c r="I93" s="149"/>
      <c r="J93" s="150"/>
      <c r="K93" s="151"/>
    </row>
    <row r="94" spans="2:11" x14ac:dyDescent="0.2">
      <c r="B94" s="143"/>
      <c r="C94" s="144"/>
      <c r="D94" s="144"/>
      <c r="E94" s="145"/>
      <c r="F94" s="146"/>
      <c r="G94" s="147"/>
      <c r="H94" s="148"/>
      <c r="I94" s="149"/>
      <c r="J94" s="150"/>
      <c r="K94" s="151"/>
    </row>
    <row r="95" spans="2:11" x14ac:dyDescent="0.2">
      <c r="B95" s="143"/>
      <c r="C95" s="144"/>
      <c r="D95" s="144"/>
      <c r="E95" s="145"/>
      <c r="F95" s="146"/>
      <c r="G95" s="147"/>
      <c r="H95" s="148"/>
      <c r="I95" s="149"/>
      <c r="J95" s="150"/>
      <c r="K95" s="151"/>
    </row>
    <row r="96" spans="2:11" x14ac:dyDescent="0.2">
      <c r="B96" s="143"/>
      <c r="C96" s="144"/>
      <c r="D96" s="144"/>
      <c r="E96" s="145"/>
      <c r="F96" s="146"/>
      <c r="G96" s="147"/>
      <c r="H96" s="148"/>
      <c r="I96" s="149"/>
      <c r="J96" s="150"/>
      <c r="K96" s="151"/>
    </row>
    <row r="97" spans="2:11" x14ac:dyDescent="0.2">
      <c r="B97" s="143"/>
      <c r="C97" s="144"/>
      <c r="D97" s="144"/>
      <c r="E97" s="145"/>
      <c r="F97" s="146"/>
      <c r="G97" s="147"/>
      <c r="H97" s="148"/>
      <c r="I97" s="149"/>
      <c r="J97" s="150"/>
      <c r="K97" s="151"/>
    </row>
    <row r="98" spans="2:11" x14ac:dyDescent="0.2">
      <c r="B98" s="143"/>
      <c r="C98" s="144"/>
      <c r="D98" s="144"/>
      <c r="E98" s="145"/>
      <c r="F98" s="146"/>
      <c r="G98" s="147"/>
      <c r="H98" s="148"/>
      <c r="I98" s="149"/>
      <c r="J98" s="150"/>
      <c r="K98" s="151"/>
    </row>
    <row r="99" spans="2:11" x14ac:dyDescent="0.2">
      <c r="B99" s="143"/>
      <c r="C99" s="144"/>
      <c r="D99" s="144"/>
      <c r="E99" s="145"/>
      <c r="F99" s="146"/>
      <c r="G99" s="147"/>
      <c r="H99" s="148"/>
      <c r="I99" s="149"/>
      <c r="J99" s="150"/>
      <c r="K99" s="151"/>
    </row>
    <row r="100" spans="2:11" x14ac:dyDescent="0.2">
      <c r="B100" s="143"/>
      <c r="C100" s="144"/>
      <c r="D100" s="144"/>
      <c r="E100" s="145"/>
      <c r="F100" s="146"/>
      <c r="G100" s="147"/>
      <c r="H100" s="148"/>
      <c r="I100" s="149"/>
      <c r="J100" s="150"/>
      <c r="K100" s="151"/>
    </row>
    <row r="101" spans="2:11" x14ac:dyDescent="0.2">
      <c r="B101" s="158"/>
      <c r="C101" s="159"/>
      <c r="D101" s="159"/>
      <c r="E101" s="160"/>
      <c r="F101" s="161"/>
      <c r="G101" s="162"/>
      <c r="H101" s="163"/>
      <c r="I101" s="164"/>
      <c r="J101" s="165"/>
      <c r="K101" s="166"/>
    </row>
    <row r="102" spans="2:11" x14ac:dyDescent="0.2">
      <c r="B102" s="158"/>
      <c r="C102" s="159"/>
      <c r="D102" s="159"/>
      <c r="E102" s="160"/>
      <c r="F102" s="161"/>
      <c r="G102" s="162"/>
      <c r="H102" s="163"/>
      <c r="I102" s="164"/>
      <c r="J102" s="165"/>
      <c r="K102" s="166"/>
    </row>
    <row r="103" spans="2:11" x14ac:dyDescent="0.2">
      <c r="B103" s="167"/>
      <c r="C103" s="168"/>
      <c r="D103" s="168"/>
      <c r="E103" s="169"/>
      <c r="F103" s="170"/>
      <c r="G103" s="171"/>
      <c r="H103" s="172"/>
      <c r="I103" s="173"/>
      <c r="J103" s="174"/>
      <c r="K103" s="175"/>
    </row>
  </sheetData>
  <sheetProtection algorithmName="SHA-512" hashValue="YyevtEcSIOkhgJWUQNDG0D8a17SE0d95rS0B8KkSgIKg6gqauvvkLHq6ZDfI49kGMScQrM4wl/ojNfP3Mvfldg==" saltValue="Z+g+rj4ntSjOWi5d9j+gOQ==" spinCount="100000" sheet="1" objects="1" scenarios="1" selectLockedCells="1" selectUnlockedCells="1"/>
  <sortState ref="B3:K72">
    <sortCondition ref="B3:B72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I72"/>
  <sheetViews>
    <sheetView topLeftCell="N1" workbookViewId="0">
      <selection sqref="A1:M1048576"/>
    </sheetView>
  </sheetViews>
  <sheetFormatPr defaultColWidth="9.140625" defaultRowHeight="15" x14ac:dyDescent="0.25"/>
  <cols>
    <col min="1" max="2" width="9.140625" style="127" hidden="1" customWidth="1"/>
    <col min="3" max="3" width="12.85546875" style="127" hidden="1" customWidth="1"/>
    <col min="4" max="5" width="19.7109375" style="135" hidden="1" customWidth="1"/>
    <col min="6" max="9" width="9.140625" style="127" hidden="1" customWidth="1"/>
    <col min="10" max="13" width="0" style="127" hidden="1" customWidth="1"/>
    <col min="14" max="16384" width="9.140625" style="127"/>
  </cols>
  <sheetData>
    <row r="2" spans="3:5" x14ac:dyDescent="0.25">
      <c r="C2" s="127" t="s">
        <v>111</v>
      </c>
      <c r="D2" s="135" t="s">
        <v>237</v>
      </c>
      <c r="E2" s="135" t="s">
        <v>254</v>
      </c>
    </row>
    <row r="3" spans="3:5" x14ac:dyDescent="0.25">
      <c r="C3" s="127">
        <v>530</v>
      </c>
      <c r="D3" s="135">
        <v>2228384.3427555077</v>
      </c>
      <c r="E3" s="135">
        <v>2501895.5645772638</v>
      </c>
    </row>
    <row r="4" spans="3:5" x14ac:dyDescent="0.25">
      <c r="C4" s="127">
        <v>535</v>
      </c>
      <c r="D4" s="135">
        <v>1108227</v>
      </c>
      <c r="E4" s="135">
        <v>1109797.1962674826</v>
      </c>
    </row>
    <row r="5" spans="3:5" x14ac:dyDescent="0.25">
      <c r="C5" s="127">
        <v>536</v>
      </c>
      <c r="D5" s="135">
        <v>885463.28451288329</v>
      </c>
      <c r="E5" s="135">
        <v>913544.01779468765</v>
      </c>
    </row>
    <row r="6" spans="3:5" x14ac:dyDescent="0.25">
      <c r="C6" s="127">
        <v>539</v>
      </c>
      <c r="D6" s="135">
        <v>5418963</v>
      </c>
      <c r="E6" s="135">
        <v>6284483.0340542626</v>
      </c>
    </row>
    <row r="7" spans="3:5" x14ac:dyDescent="0.25">
      <c r="C7" s="127">
        <v>540</v>
      </c>
      <c r="D7" s="135">
        <v>1548567.3911934656</v>
      </c>
      <c r="E7" s="135">
        <v>1759719.4657531742</v>
      </c>
    </row>
    <row r="8" spans="3:5" x14ac:dyDescent="0.25">
      <c r="C8" s="127">
        <v>542</v>
      </c>
      <c r="D8" s="135">
        <v>724769.24298330012</v>
      </c>
      <c r="E8" s="135">
        <v>989966.820840745</v>
      </c>
    </row>
    <row r="9" spans="3:5" x14ac:dyDescent="0.25">
      <c r="C9" s="127">
        <v>543</v>
      </c>
      <c r="D9" s="135">
        <v>1294609.90693492</v>
      </c>
      <c r="E9" s="135">
        <v>1359927.8251440974</v>
      </c>
    </row>
    <row r="10" spans="3:5" x14ac:dyDescent="0.25">
      <c r="C10" s="127">
        <v>544</v>
      </c>
      <c r="D10" s="135">
        <v>553854</v>
      </c>
      <c r="E10" s="135">
        <v>548310.54407730489</v>
      </c>
    </row>
    <row r="11" spans="3:5" x14ac:dyDescent="0.25">
      <c r="C11" s="127">
        <v>547</v>
      </c>
      <c r="D11" s="135">
        <v>417771.80349045002</v>
      </c>
      <c r="E11" s="135">
        <v>411505.22643809323</v>
      </c>
    </row>
    <row r="12" spans="3:5" x14ac:dyDescent="0.25">
      <c r="C12" s="127">
        <v>549</v>
      </c>
      <c r="D12" s="135">
        <v>1148486.514054554</v>
      </c>
      <c r="E12" s="135">
        <v>1395095.1531803189</v>
      </c>
    </row>
    <row r="13" spans="3:5" x14ac:dyDescent="0.25">
      <c r="C13" s="127">
        <v>550</v>
      </c>
      <c r="D13" s="135">
        <v>382351.39</v>
      </c>
      <c r="E13" s="135">
        <v>376616.11915000004</v>
      </c>
    </row>
    <row r="14" spans="3:5" x14ac:dyDescent="0.25">
      <c r="C14" s="127">
        <v>555</v>
      </c>
      <c r="D14" s="135">
        <v>1196946.6873120512</v>
      </c>
      <c r="E14" s="135">
        <v>1264809.2556472374</v>
      </c>
    </row>
    <row r="15" spans="3:5" x14ac:dyDescent="0.25">
      <c r="C15" s="127">
        <v>557</v>
      </c>
      <c r="D15" s="135">
        <v>4946857.9153540004</v>
      </c>
      <c r="E15" s="135">
        <v>5660884.4683170374</v>
      </c>
    </row>
    <row r="16" spans="3:5" x14ac:dyDescent="0.25">
      <c r="C16" s="127">
        <v>559</v>
      </c>
      <c r="D16" s="135">
        <v>2715159.0824692445</v>
      </c>
      <c r="E16" s="135">
        <v>2674431.6962322057</v>
      </c>
    </row>
    <row r="17" spans="3:5" x14ac:dyDescent="0.25">
      <c r="C17" s="127">
        <v>561</v>
      </c>
      <c r="D17" s="135">
        <v>537051.07860295195</v>
      </c>
      <c r="E17" s="135">
        <v>720907.81859074242</v>
      </c>
    </row>
    <row r="18" spans="3:5" x14ac:dyDescent="0.25">
      <c r="C18" s="127">
        <v>562</v>
      </c>
      <c r="D18" s="135">
        <v>1122640.520200788</v>
      </c>
      <c r="E18" s="135">
        <v>1330466.5616781525</v>
      </c>
    </row>
    <row r="19" spans="3:5" x14ac:dyDescent="0.25">
      <c r="C19" s="127">
        <v>573</v>
      </c>
      <c r="D19" s="135">
        <v>500655.65718828398</v>
      </c>
      <c r="E19" s="135">
        <v>512621.89617969998</v>
      </c>
    </row>
    <row r="20" spans="3:5" x14ac:dyDescent="0.25">
      <c r="C20" s="127">
        <v>574</v>
      </c>
      <c r="D20" s="135">
        <v>669450.82039158593</v>
      </c>
      <c r="E20" s="135">
        <v>827616.56715272006</v>
      </c>
    </row>
    <row r="21" spans="3:5" x14ac:dyDescent="0.25">
      <c r="C21" s="127">
        <v>578</v>
      </c>
      <c r="D21" s="135">
        <v>216346.11019939999</v>
      </c>
      <c r="E21" s="135">
        <v>288796.08434181247</v>
      </c>
    </row>
    <row r="22" spans="3:5" x14ac:dyDescent="0.25">
      <c r="C22" s="127">
        <v>581</v>
      </c>
      <c r="D22" s="135">
        <v>4031171.6</v>
      </c>
      <c r="E22" s="135">
        <v>4286056.7406413695</v>
      </c>
    </row>
    <row r="23" spans="3:5" x14ac:dyDescent="0.25">
      <c r="C23" s="127">
        <v>592</v>
      </c>
      <c r="D23" s="135">
        <v>223633</v>
      </c>
      <c r="E23" s="135">
        <v>240200.6193859975</v>
      </c>
    </row>
    <row r="24" spans="3:5" x14ac:dyDescent="0.25">
      <c r="C24" s="127">
        <v>593</v>
      </c>
      <c r="D24" s="135">
        <v>232831.5370882253</v>
      </c>
      <c r="E24" s="135">
        <v>229339.06403190191</v>
      </c>
    </row>
    <row r="25" spans="3:5" x14ac:dyDescent="0.25">
      <c r="C25" s="127">
        <v>594</v>
      </c>
      <c r="D25" s="135">
        <v>0</v>
      </c>
      <c r="E25" s="135">
        <v>378114.03626724746</v>
      </c>
    </row>
    <row r="26" spans="3:5" x14ac:dyDescent="0.25">
      <c r="C26" s="127">
        <v>595</v>
      </c>
      <c r="D26" s="135">
        <v>1149972.9538739598</v>
      </c>
      <c r="E26" s="136">
        <v>1132723.3595658503</v>
      </c>
    </row>
    <row r="27" spans="3:5" x14ac:dyDescent="0.25">
      <c r="C27" s="127">
        <v>596</v>
      </c>
      <c r="D27" s="135">
        <v>1128991.6943935</v>
      </c>
      <c r="E27" s="135">
        <v>1428721.6297805801</v>
      </c>
    </row>
    <row r="28" spans="3:5" x14ac:dyDescent="0.25">
      <c r="C28" s="127">
        <v>597</v>
      </c>
      <c r="D28" s="135">
        <v>2496331.3245764198</v>
      </c>
      <c r="E28" s="135">
        <v>2675877.7393864249</v>
      </c>
    </row>
    <row r="29" spans="3:5" x14ac:dyDescent="0.25">
      <c r="C29" s="127">
        <v>598</v>
      </c>
      <c r="D29" s="135">
        <v>554287.22622804996</v>
      </c>
      <c r="E29" s="135">
        <v>706501.66755179991</v>
      </c>
    </row>
    <row r="30" spans="3:5" x14ac:dyDescent="0.25">
      <c r="C30" s="127">
        <v>600</v>
      </c>
      <c r="D30" s="135">
        <v>903069.66910528007</v>
      </c>
      <c r="E30" s="135">
        <v>909980.41473960003</v>
      </c>
    </row>
    <row r="31" spans="3:5" x14ac:dyDescent="0.25">
      <c r="C31" s="127">
        <v>602</v>
      </c>
      <c r="D31" s="135">
        <v>780702.00204083789</v>
      </c>
      <c r="E31" s="135">
        <v>844734.80814232747</v>
      </c>
    </row>
    <row r="32" spans="3:5" x14ac:dyDescent="0.25">
      <c r="C32" s="127">
        <v>606</v>
      </c>
      <c r="D32" s="135">
        <v>563365.16464387998</v>
      </c>
      <c r="E32" s="135">
        <v>652715.86570127006</v>
      </c>
    </row>
    <row r="33" spans="3:5" x14ac:dyDescent="0.25">
      <c r="C33" s="127">
        <v>608</v>
      </c>
      <c r="D33" s="135">
        <v>1159196.511778696</v>
      </c>
      <c r="E33" s="135">
        <v>1269863.5591975525</v>
      </c>
    </row>
    <row r="34" spans="3:5" x14ac:dyDescent="0.25">
      <c r="C34" s="127">
        <v>609</v>
      </c>
      <c r="D34" s="135">
        <v>1603368.615325232</v>
      </c>
      <c r="E34" s="135">
        <v>1896210.0882291975</v>
      </c>
    </row>
    <row r="35" spans="3:5" x14ac:dyDescent="0.25">
      <c r="C35" s="127">
        <v>610</v>
      </c>
      <c r="D35" s="135">
        <v>3051230.1438470981</v>
      </c>
      <c r="E35" s="135">
        <v>3005461.6916893916</v>
      </c>
    </row>
    <row r="36" spans="3:5" x14ac:dyDescent="0.25">
      <c r="C36" s="127">
        <v>616</v>
      </c>
      <c r="D36" s="135">
        <v>1054494.737024032</v>
      </c>
      <c r="E36" s="135">
        <v>1165025.9791196401</v>
      </c>
    </row>
    <row r="37" spans="3:5" x14ac:dyDescent="0.25">
      <c r="C37" s="127">
        <v>617</v>
      </c>
      <c r="D37" s="135">
        <v>1145716.4830153841</v>
      </c>
      <c r="E37" s="135">
        <v>1156790.4508853841</v>
      </c>
    </row>
    <row r="38" spans="3:5" x14ac:dyDescent="0.25">
      <c r="C38" s="127">
        <v>622</v>
      </c>
      <c r="D38" s="135">
        <v>234103.336741062</v>
      </c>
      <c r="E38" s="135">
        <v>248044.141139585</v>
      </c>
    </row>
    <row r="39" spans="3:5" x14ac:dyDescent="0.25">
      <c r="C39" s="127">
        <v>626</v>
      </c>
      <c r="D39" s="135">
        <v>742941</v>
      </c>
      <c r="E39" s="135">
        <v>770033.50470912992</v>
      </c>
    </row>
    <row r="40" spans="3:5" x14ac:dyDescent="0.25">
      <c r="C40" s="127">
        <v>631</v>
      </c>
      <c r="D40" s="135">
        <v>1183103.7533088541</v>
      </c>
      <c r="E40" s="135">
        <v>1165357.1970092212</v>
      </c>
    </row>
    <row r="41" spans="3:5" x14ac:dyDescent="0.25">
      <c r="C41" s="127">
        <v>633</v>
      </c>
      <c r="D41" s="135">
        <v>1145359</v>
      </c>
      <c r="E41" s="135">
        <v>1248320.70996825</v>
      </c>
    </row>
    <row r="42" spans="3:5" x14ac:dyDescent="0.25">
      <c r="C42" s="127">
        <v>636</v>
      </c>
      <c r="D42" s="135">
        <v>518762.12478139903</v>
      </c>
      <c r="E42" s="135">
        <v>538494.80244540004</v>
      </c>
    </row>
    <row r="43" spans="3:5" x14ac:dyDescent="0.25">
      <c r="C43" s="127">
        <v>641</v>
      </c>
      <c r="D43" s="135">
        <v>4118597.9929986</v>
      </c>
      <c r="E43" s="135">
        <v>4234032.28127228</v>
      </c>
    </row>
    <row r="44" spans="3:5" x14ac:dyDescent="0.25">
      <c r="C44" s="127">
        <v>642</v>
      </c>
      <c r="D44" s="135">
        <v>3391073.29</v>
      </c>
      <c r="E44" s="135">
        <v>3340207.1906500002</v>
      </c>
    </row>
    <row r="45" spans="3:5" x14ac:dyDescent="0.25">
      <c r="C45" s="127">
        <v>648</v>
      </c>
      <c r="D45" s="135">
        <v>956354.48531197396</v>
      </c>
      <c r="E45" s="135">
        <v>1038879.5094865399</v>
      </c>
    </row>
    <row r="46" spans="3:5" x14ac:dyDescent="0.25">
      <c r="C46" s="127">
        <v>649</v>
      </c>
      <c r="D46" s="135">
        <v>289007.72528892598</v>
      </c>
      <c r="E46" s="135">
        <v>483169.03598287993</v>
      </c>
    </row>
    <row r="47" spans="3:5" x14ac:dyDescent="0.25">
      <c r="C47" s="127">
        <v>650</v>
      </c>
      <c r="D47" s="135">
        <v>2776847.399710427</v>
      </c>
      <c r="E47" s="135">
        <v>3141527.812192935</v>
      </c>
    </row>
    <row r="48" spans="3:5" x14ac:dyDescent="0.25">
      <c r="C48" s="127">
        <v>653</v>
      </c>
      <c r="D48" s="135">
        <v>6050473.1879351139</v>
      </c>
      <c r="E48" s="135">
        <v>6407382.190348275</v>
      </c>
    </row>
    <row r="49" spans="3:5" x14ac:dyDescent="0.25">
      <c r="C49" s="127">
        <v>656</v>
      </c>
      <c r="D49" s="135">
        <v>0</v>
      </c>
      <c r="E49" s="135">
        <v>331188.83561377</v>
      </c>
    </row>
    <row r="50" spans="3:5" x14ac:dyDescent="0.25">
      <c r="C50" s="127">
        <v>657</v>
      </c>
      <c r="D50" s="135">
        <v>200610.49903964598</v>
      </c>
      <c r="E50" s="135">
        <v>223694.12025783252</v>
      </c>
    </row>
    <row r="51" spans="3:5" x14ac:dyDescent="0.25">
      <c r="C51" s="127">
        <v>658</v>
      </c>
      <c r="D51" s="135">
        <v>285173.86506735551</v>
      </c>
      <c r="E51" s="135">
        <v>285436.21743164602</v>
      </c>
    </row>
    <row r="52" spans="3:5" x14ac:dyDescent="0.25">
      <c r="C52" s="127">
        <v>669</v>
      </c>
      <c r="D52" s="135">
        <v>1060175.8829793003</v>
      </c>
      <c r="E52" s="135">
        <v>1437327.4262263626</v>
      </c>
    </row>
    <row r="53" spans="3:5" x14ac:dyDescent="0.25">
      <c r="C53" s="127">
        <v>672</v>
      </c>
      <c r="D53" s="135">
        <v>2020434.3787750001</v>
      </c>
      <c r="E53" s="135">
        <v>2072045.82748674</v>
      </c>
    </row>
    <row r="54" spans="3:5" x14ac:dyDescent="0.25">
      <c r="C54" s="127">
        <v>680</v>
      </c>
      <c r="D54" s="135">
        <v>358759.465877045</v>
      </c>
      <c r="E54" s="135">
        <v>353378.07388888934</v>
      </c>
    </row>
    <row r="55" spans="3:5" x14ac:dyDescent="0.25">
      <c r="C55" s="127">
        <v>681</v>
      </c>
      <c r="D55" s="135">
        <v>1159154.003575</v>
      </c>
      <c r="E55" s="135">
        <v>1141766.6935213751</v>
      </c>
    </row>
    <row r="56" spans="3:5" x14ac:dyDescent="0.25">
      <c r="C56" s="127">
        <v>683</v>
      </c>
      <c r="D56" s="135">
        <v>1446829.5969749999</v>
      </c>
      <c r="E56" s="135">
        <v>1425127.1530203749</v>
      </c>
    </row>
    <row r="57" spans="3:5" x14ac:dyDescent="0.25">
      <c r="C57" s="127">
        <v>684</v>
      </c>
      <c r="D57" s="135">
        <v>1063711.0240334719</v>
      </c>
      <c r="E57" s="135">
        <v>1253530.505278785</v>
      </c>
    </row>
    <row r="58" spans="3:5" x14ac:dyDescent="0.25">
      <c r="C58" s="127">
        <v>688</v>
      </c>
      <c r="D58" s="135">
        <v>1294074.9766799868</v>
      </c>
      <c r="E58" s="135">
        <v>1346182.2850861449</v>
      </c>
    </row>
    <row r="59" spans="3:5" x14ac:dyDescent="0.25">
      <c r="C59" s="127">
        <v>690</v>
      </c>
      <c r="D59" s="135">
        <v>855970.55110438995</v>
      </c>
      <c r="E59" s="135">
        <v>928206.5150851151</v>
      </c>
    </row>
    <row r="60" spans="3:5" x14ac:dyDescent="0.25">
      <c r="C60" s="127">
        <v>693</v>
      </c>
      <c r="D60" s="135">
        <v>634482.34592678607</v>
      </c>
      <c r="E60" s="135">
        <v>628998.34769657988</v>
      </c>
    </row>
    <row r="61" spans="3:5" x14ac:dyDescent="0.25">
      <c r="C61" s="127">
        <v>695</v>
      </c>
      <c r="D61" s="135">
        <v>1175307.7982170028</v>
      </c>
      <c r="E61" s="135">
        <v>1157678.1812437477</v>
      </c>
    </row>
    <row r="62" spans="3:5" x14ac:dyDescent="0.25">
      <c r="C62" s="127">
        <v>697</v>
      </c>
      <c r="D62" s="135">
        <v>981194.3309081099</v>
      </c>
      <c r="E62" s="135">
        <v>1035927.5427516</v>
      </c>
    </row>
    <row r="63" spans="3:5" x14ac:dyDescent="0.25">
      <c r="C63" s="127">
        <v>705</v>
      </c>
      <c r="D63" s="135">
        <v>2260363.917918134</v>
      </c>
      <c r="E63" s="135">
        <v>2416430.7275062641</v>
      </c>
    </row>
    <row r="64" spans="3:5" x14ac:dyDescent="0.25">
      <c r="C64" s="127">
        <v>710</v>
      </c>
      <c r="D64" s="135">
        <v>966884.69356677611</v>
      </c>
      <c r="E64" s="135">
        <v>1037858.2283113499</v>
      </c>
    </row>
    <row r="65" spans="3:5" x14ac:dyDescent="0.25">
      <c r="C65" s="127">
        <v>711</v>
      </c>
      <c r="D65" s="135">
        <v>1389928.541265816</v>
      </c>
      <c r="E65" s="135">
        <v>1417259.7875808</v>
      </c>
    </row>
    <row r="66" spans="3:5" x14ac:dyDescent="0.25">
      <c r="C66" s="127">
        <v>712</v>
      </c>
      <c r="D66" s="135">
        <v>1419647.4375085202</v>
      </c>
      <c r="E66" s="135">
        <v>1661029.2041733998</v>
      </c>
    </row>
    <row r="67" spans="3:5" x14ac:dyDescent="0.25">
      <c r="C67" s="127">
        <v>717</v>
      </c>
      <c r="D67" s="135">
        <v>765091.49547370698</v>
      </c>
      <c r="E67" s="135">
        <v>948607.38271134987</v>
      </c>
    </row>
    <row r="68" spans="3:5" x14ac:dyDescent="0.25">
      <c r="C68" s="127">
        <v>719</v>
      </c>
      <c r="D68" s="135">
        <v>630360.30159066408</v>
      </c>
      <c r="E68" s="135">
        <v>638835.87104832497</v>
      </c>
    </row>
    <row r="69" spans="3:5" x14ac:dyDescent="0.25">
      <c r="C69" s="127">
        <v>722</v>
      </c>
      <c r="D69" s="135">
        <v>459240.66152028</v>
      </c>
      <c r="E69" s="135">
        <v>488461.18391894992</v>
      </c>
    </row>
    <row r="70" spans="3:5" x14ac:dyDescent="0.25">
      <c r="C70" s="127">
        <v>723</v>
      </c>
      <c r="D70" s="135">
        <v>748422.73955342791</v>
      </c>
      <c r="E70" s="135">
        <v>933627.34400193254</v>
      </c>
    </row>
    <row r="71" spans="3:5" x14ac:dyDescent="0.25">
      <c r="C71" s="127">
        <v>724</v>
      </c>
      <c r="D71" s="135">
        <v>1692336</v>
      </c>
      <c r="E71" s="135">
        <v>1833032.7545973603</v>
      </c>
    </row>
    <row r="72" spans="3:5" x14ac:dyDescent="0.25">
      <c r="C72" s="127">
        <v>728</v>
      </c>
      <c r="D72" s="135">
        <v>898378.60179541586</v>
      </c>
      <c r="E72" s="135">
        <v>911357.36528541613</v>
      </c>
    </row>
  </sheetData>
  <sheetProtection algorithmName="SHA-512" hashValue="C+8YwDs5fKOBkm9nUdmQhWAEbHxWBBswIYSvyy/rAU+Qc2XqPEXa1HtIkDbInJQholHmTaImaLpTliwslV6MlQ==" saltValue="FSN0jByyTUFBKKxCGJE85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DataInfo(Input)</vt:lpstr>
      <vt:lpstr>Estimator(Output)</vt:lpstr>
      <vt:lpstr>FormulaFactors</vt:lpstr>
      <vt:lpstr>BandInfo</vt:lpstr>
      <vt:lpstr>HistoricalFunding</vt:lpstr>
      <vt:lpstr>BasicRate</vt:lpstr>
      <vt:lpstr>FirstNation</vt:lpstr>
      <vt:lpstr>'Estimator(Output)'!Print_Area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ECL</dc:creator>
  <cp:lastModifiedBy>Dileepa Kumarapperuma</cp:lastModifiedBy>
  <cp:lastPrinted>2020-01-29T17:48:27Z</cp:lastPrinted>
  <dcterms:created xsi:type="dcterms:W3CDTF">2014-10-15T01:43:16Z</dcterms:created>
  <dcterms:modified xsi:type="dcterms:W3CDTF">2022-07-06T18:27:56Z</dcterms:modified>
</cp:coreProperties>
</file>