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fp.idir.bcgov\S127\S27010\Secure\BCTEA\4 - PROJECT PLANNING\BCTEA TRANSP PLAN ADMIN\2024-25 SY Submissions Approvals\Materials\Final Materials approved by ADM\"/>
    </mc:Choice>
  </mc:AlternateContent>
  <xr:revisionPtr revIDLastSave="0" documentId="13_ncr:1_{3ABD60FF-537A-441C-9EC1-DE51F39C4B99}" xr6:coauthVersionLast="47" xr6:coauthVersionMax="47" xr10:uidLastSave="{00000000-0000-0000-0000-000000000000}"/>
  <workbookProtection workbookAlgorithmName="SHA-512" workbookHashValue="Z9+n6WyfmOjKR32tpCJ6kHbHD2qidbIAOZ8FB6QzSM1rs2f4SNmN1pb8bLie16ndhSyQVTqnmV78kfkVVZOmgQ==" workbookSaltValue="3fgqiB6dld9gMpWRD/LraA==" workbookSpinCount="100000" lockStructure="1"/>
  <bookViews>
    <workbookView xWindow="-15915" yWindow="-16710" windowWidth="29040" windowHeight="15840" activeTab="1" xr2:uid="{09A24CBF-C95F-46E4-8D16-367CE0965080}"/>
  </bookViews>
  <sheets>
    <sheet name="Signature Tab" sheetId="21" r:id="rId1"/>
    <sheet name="(1) Spending Report  " sheetId="29" r:id="rId2"/>
    <sheet name="(1.1) Revenue-Spending Example" sheetId="30" r:id="rId3"/>
    <sheet name="(2) Extracurricular Report" sheetId="9" r:id="rId4"/>
    <sheet name="(2.1) Extracurricular Example" sheetId="19" r:id="rId5"/>
    <sheet name="(3) Reference STF-SLF-SSLF" sheetId="31" r:id="rId6"/>
    <sheet name="Data Reported" sheetId="15" state="hidden" r:id="rId7"/>
    <sheet name="Auto Populate Table" sheetId="32" state="hidden" r:id="rId8"/>
  </sheets>
  <definedNames>
    <definedName name="_xlnm.Print_Area" localSheetId="1">'(1) Spending Report  '!$A$1:$H$52</definedName>
    <definedName name="_xlnm.Print_Area" localSheetId="2">'(1.1) Revenue-Spending Example'!$A$1:$H$54</definedName>
    <definedName name="_xlnm.Print_Area" localSheetId="3">'(2) Extracurricular Report'!$A$1:$L$29</definedName>
    <definedName name="_xlnm.Print_Area" localSheetId="4">'(2.1) Extracurricular Example'!$A$1:$L$29</definedName>
    <definedName name="_xlnm.Print_Area" localSheetId="0">'Signature Tab'!$A$1:$C$26</definedName>
    <definedName name="_xlnm.Print_Titles" localSheetId="1">'(1) Spending Report  '!$1:$1</definedName>
    <definedName name="_xlnm.Print_Titles" localSheetId="2">'(1.1) Revenue-Spending Example'!$1:$1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9" l="1"/>
  <c r="H29" i="9"/>
  <c r="G29" i="9"/>
  <c r="F29" i="9"/>
  <c r="E29" i="9"/>
  <c r="D29" i="9"/>
  <c r="C29" i="9"/>
  <c r="B29" i="9"/>
  <c r="D29" i="19"/>
  <c r="L29" i="19"/>
  <c r="H29" i="19"/>
  <c r="E29" i="19"/>
  <c r="F29" i="19"/>
  <c r="G29" i="19"/>
  <c r="C29" i="19"/>
  <c r="B29" i="19"/>
  <c r="L29" i="9"/>
  <c r="K29" i="9"/>
  <c r="J29" i="9"/>
  <c r="H36" i="29"/>
  <c r="H37" i="29" s="1"/>
  <c r="P62" i="32"/>
  <c r="P61" i="32"/>
  <c r="P60" i="32"/>
  <c r="P59" i="32"/>
  <c r="P58" i="32"/>
  <c r="P57" i="32"/>
  <c r="P56" i="32"/>
  <c r="P55" i="32"/>
  <c r="P54" i="32"/>
  <c r="P53" i="32"/>
  <c r="P52" i="32"/>
  <c r="P51" i="32"/>
  <c r="P50" i="32"/>
  <c r="P49" i="32"/>
  <c r="P48" i="32"/>
  <c r="P47" i="32"/>
  <c r="P46" i="32"/>
  <c r="P45" i="32"/>
  <c r="P43" i="32"/>
  <c r="P42" i="32"/>
  <c r="P41" i="32"/>
  <c r="P40" i="32"/>
  <c r="P39" i="32"/>
  <c r="P38" i="32"/>
  <c r="P37" i="32"/>
  <c r="P36" i="32"/>
  <c r="P35" i="32"/>
  <c r="P34" i="32"/>
  <c r="P33" i="32"/>
  <c r="P32" i="32"/>
  <c r="P31" i="32"/>
  <c r="P30" i="32"/>
  <c r="P29" i="32"/>
  <c r="P28" i="32"/>
  <c r="P27" i="32"/>
  <c r="P26" i="32"/>
  <c r="P25" i="32"/>
  <c r="P24" i="32"/>
  <c r="P23" i="32"/>
  <c r="P22" i="32"/>
  <c r="P21" i="32"/>
  <c r="P20" i="32"/>
  <c r="P19" i="32"/>
  <c r="P18" i="32"/>
  <c r="P17" i="32"/>
  <c r="P14" i="32"/>
  <c r="P13" i="32"/>
  <c r="P11" i="32"/>
  <c r="P10" i="32"/>
  <c r="P9" i="32"/>
  <c r="P8" i="32"/>
  <c r="P7" i="32"/>
  <c r="P6" i="32"/>
  <c r="P4" i="32"/>
  <c r="P3" i="32"/>
  <c r="P2" i="32"/>
  <c r="T2" i="32" l="1"/>
  <c r="T3" i="32"/>
  <c r="T4" i="32"/>
  <c r="T5" i="32"/>
  <c r="T6" i="32"/>
  <c r="T7" i="32"/>
  <c r="T8" i="32"/>
  <c r="T9" i="32"/>
  <c r="T10" i="32"/>
  <c r="T11" i="32"/>
  <c r="T12" i="32"/>
  <c r="T13" i="32"/>
  <c r="T14" i="32"/>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T55" i="32"/>
  <c r="T56" i="32"/>
  <c r="T57" i="32"/>
  <c r="T58" i="32"/>
  <c r="T59" i="32"/>
  <c r="T60" i="32"/>
  <c r="T61" i="32"/>
  <c r="T62" i="32"/>
  <c r="T63" i="32"/>
  <c r="Z63" i="32"/>
  <c r="Z62" i="32"/>
  <c r="Z61" i="32"/>
  <c r="Z60" i="32"/>
  <c r="Z59" i="32"/>
  <c r="Z58" i="32"/>
  <c r="Z57" i="32"/>
  <c r="Z56" i="32"/>
  <c r="Z55" i="32"/>
  <c r="Z54" i="32"/>
  <c r="Z53" i="32"/>
  <c r="Z52" i="32"/>
  <c r="Z51" i="32"/>
  <c r="Z50" i="32"/>
  <c r="Z49" i="32"/>
  <c r="Z48" i="32"/>
  <c r="Z47" i="32"/>
  <c r="Z46" i="32"/>
  <c r="Z45" i="32"/>
  <c r="Z44" i="32"/>
  <c r="Z43" i="32"/>
  <c r="Z42" i="32"/>
  <c r="Z41" i="32"/>
  <c r="Z40" i="32"/>
  <c r="Z39" i="32"/>
  <c r="Z38" i="32"/>
  <c r="Z37" i="32"/>
  <c r="Z36" i="32"/>
  <c r="Z35" i="32"/>
  <c r="Z34" i="32"/>
  <c r="Z33" i="32"/>
  <c r="Z32" i="32"/>
  <c r="Z31" i="32"/>
  <c r="Z30" i="32"/>
  <c r="Z29" i="32"/>
  <c r="Z28" i="32"/>
  <c r="Z27" i="32"/>
  <c r="Z26" i="32"/>
  <c r="Z25" i="32"/>
  <c r="Z24" i="32"/>
  <c r="Z23" i="32"/>
  <c r="Z22" i="32"/>
  <c r="Z21" i="32"/>
  <c r="Z20" i="32"/>
  <c r="Z19" i="32"/>
  <c r="Z18" i="32"/>
  <c r="Z17" i="32"/>
  <c r="Z16" i="32"/>
  <c r="Z15" i="32"/>
  <c r="Z14" i="32"/>
  <c r="Z13" i="32"/>
  <c r="Z12" i="32"/>
  <c r="Z11" i="32"/>
  <c r="Z10" i="32"/>
  <c r="Z9" i="32"/>
  <c r="Z8" i="32"/>
  <c r="Z7" i="32"/>
  <c r="Z6" i="32"/>
  <c r="Z5" i="32"/>
  <c r="P5" i="32" s="1"/>
  <c r="Z4" i="32"/>
  <c r="Z3" i="32"/>
  <c r="Z2" i="32"/>
  <c r="E45" i="29" l="1"/>
  <c r="F45" i="29"/>
  <c r="B9" i="9" l="1"/>
  <c r="B10" i="9" s="1"/>
  <c r="D194" i="15"/>
  <c r="D195" i="15"/>
  <c r="D196" i="15"/>
  <c r="D197" i="15"/>
  <c r="D198" i="15"/>
  <c r="D199" i="15"/>
  <c r="D200" i="15"/>
  <c r="D201" i="15"/>
  <c r="D202" i="15"/>
  <c r="D203" i="15"/>
  <c r="D204" i="15"/>
  <c r="D205" i="15"/>
  <c r="D206" i="15"/>
  <c r="D207" i="15"/>
  <c r="D193" i="15"/>
  <c r="D179" i="15"/>
  <c r="D180" i="15"/>
  <c r="D181" i="15"/>
  <c r="D182" i="15"/>
  <c r="D183" i="15"/>
  <c r="D184" i="15"/>
  <c r="D185" i="15"/>
  <c r="D186" i="15"/>
  <c r="D187" i="15"/>
  <c r="D188" i="15"/>
  <c r="D189" i="15"/>
  <c r="D190" i="15"/>
  <c r="D191" i="15"/>
  <c r="D192" i="15"/>
  <c r="D178" i="15"/>
  <c r="D164" i="15"/>
  <c r="D165" i="15"/>
  <c r="D166" i="15"/>
  <c r="D167" i="15"/>
  <c r="D168" i="15"/>
  <c r="D169" i="15"/>
  <c r="D170" i="15"/>
  <c r="D171" i="15"/>
  <c r="D172" i="15"/>
  <c r="D173" i="15"/>
  <c r="D174" i="15"/>
  <c r="D175" i="15"/>
  <c r="D176" i="15"/>
  <c r="D177" i="15"/>
  <c r="D163" i="15"/>
  <c r="D149" i="15"/>
  <c r="D150" i="15"/>
  <c r="D151" i="15"/>
  <c r="D152" i="15"/>
  <c r="D153" i="15"/>
  <c r="D154" i="15"/>
  <c r="D155" i="15"/>
  <c r="D156" i="15"/>
  <c r="D157" i="15"/>
  <c r="D158" i="15"/>
  <c r="D159" i="15"/>
  <c r="D160" i="15"/>
  <c r="D161" i="15"/>
  <c r="D162" i="15"/>
  <c r="D148" i="15"/>
  <c r="D134" i="15"/>
  <c r="D135" i="15"/>
  <c r="D136" i="15"/>
  <c r="D137" i="15"/>
  <c r="D138" i="15"/>
  <c r="D139" i="15"/>
  <c r="D140" i="15"/>
  <c r="D141" i="15"/>
  <c r="D142" i="15"/>
  <c r="D143" i="15"/>
  <c r="D144" i="15"/>
  <c r="D145" i="15"/>
  <c r="D146" i="15"/>
  <c r="D147" i="15"/>
  <c r="D133" i="15"/>
  <c r="D119" i="15"/>
  <c r="D120" i="15"/>
  <c r="D121" i="15"/>
  <c r="D122" i="15"/>
  <c r="D123" i="15"/>
  <c r="D124" i="15"/>
  <c r="D125" i="15"/>
  <c r="D126" i="15"/>
  <c r="D127" i="15"/>
  <c r="D128" i="15"/>
  <c r="D129" i="15"/>
  <c r="D130" i="15"/>
  <c r="D131" i="15"/>
  <c r="D132" i="15"/>
  <c r="D118" i="15"/>
  <c r="D104" i="15"/>
  <c r="D105" i="15"/>
  <c r="D106" i="15"/>
  <c r="D107" i="15"/>
  <c r="D108" i="15"/>
  <c r="D109" i="15"/>
  <c r="D110" i="15"/>
  <c r="D111" i="15"/>
  <c r="D112" i="15"/>
  <c r="D113" i="15"/>
  <c r="D114" i="15"/>
  <c r="D115" i="15"/>
  <c r="D116" i="15"/>
  <c r="D117" i="15"/>
  <c r="D103" i="15"/>
  <c r="D89" i="15" l="1"/>
  <c r="D90" i="15"/>
  <c r="D91" i="15"/>
  <c r="D92" i="15"/>
  <c r="D93" i="15"/>
  <c r="D94" i="15"/>
  <c r="D95" i="15"/>
  <c r="D96" i="15"/>
  <c r="D97" i="15"/>
  <c r="D98" i="15"/>
  <c r="D99" i="15"/>
  <c r="D100" i="15"/>
  <c r="D101" i="15"/>
  <c r="D102" i="15"/>
  <c r="D88" i="15"/>
  <c r="D59" i="15"/>
  <c r="D60" i="15"/>
  <c r="D61" i="15"/>
  <c r="D62" i="15"/>
  <c r="D63" i="15"/>
  <c r="D64" i="15"/>
  <c r="D65" i="15"/>
  <c r="D66" i="15"/>
  <c r="D67" i="15"/>
  <c r="D68" i="15"/>
  <c r="D69" i="15"/>
  <c r="D70" i="15"/>
  <c r="D71" i="15"/>
  <c r="D72" i="15"/>
  <c r="D58" i="15"/>
  <c r="D75" i="15"/>
  <c r="D76" i="15"/>
  <c r="D77" i="15"/>
  <c r="D78" i="15"/>
  <c r="D79" i="15"/>
  <c r="D80" i="15"/>
  <c r="D81" i="15"/>
  <c r="D82" i="15"/>
  <c r="D83" i="15"/>
  <c r="D84" i="15"/>
  <c r="D85" i="15"/>
  <c r="D86" i="15"/>
  <c r="D87" i="15"/>
  <c r="D74" i="15"/>
  <c r="D73" i="15"/>
  <c r="D44" i="15"/>
  <c r="D45" i="15"/>
  <c r="D46" i="15"/>
  <c r="D47" i="15"/>
  <c r="D48" i="15"/>
  <c r="D49" i="15"/>
  <c r="D50" i="15"/>
  <c r="D51" i="15"/>
  <c r="D52" i="15"/>
  <c r="D53" i="15"/>
  <c r="D54" i="15"/>
  <c r="D55" i="15"/>
  <c r="D56" i="15"/>
  <c r="D57" i="15"/>
  <c r="D43" i="15"/>
  <c r="D29" i="15"/>
  <c r="D30" i="15"/>
  <c r="D31" i="15"/>
  <c r="D32" i="15"/>
  <c r="D33" i="15"/>
  <c r="D34" i="15"/>
  <c r="D35" i="15"/>
  <c r="D36" i="15"/>
  <c r="D37" i="15"/>
  <c r="D38" i="15"/>
  <c r="D39" i="15"/>
  <c r="D40" i="15"/>
  <c r="D41" i="15"/>
  <c r="D42" i="15"/>
  <c r="D28" i="15"/>
  <c r="D27" i="15"/>
  <c r="D23" i="15"/>
  <c r="D22" i="15"/>
  <c r="D21" i="15"/>
  <c r="D19" i="15"/>
  <c r="D18" i="15"/>
  <c r="D17" i="15"/>
  <c r="D16" i="15"/>
  <c r="D6" i="15"/>
  <c r="D7" i="15"/>
  <c r="D8" i="15"/>
  <c r="D9" i="15"/>
  <c r="D10" i="15"/>
  <c r="D11" i="15"/>
  <c r="D12" i="15"/>
  <c r="D13" i="15"/>
  <c r="D14" i="15"/>
  <c r="D5" i="15"/>
  <c r="D4" i="15"/>
  <c r="D3" i="15"/>
  <c r="D2" i="15"/>
  <c r="E43" i="29"/>
  <c r="E46" i="29" s="1"/>
  <c r="D45" i="29"/>
  <c r="D43" i="29"/>
  <c r="F43" i="29" s="1"/>
  <c r="H43" i="29" s="1"/>
  <c r="C45" i="29"/>
  <c r="C44" i="29"/>
  <c r="C43" i="29"/>
  <c r="D35" i="29"/>
  <c r="D34" i="29"/>
  <c r="D33" i="29"/>
  <c r="G31" i="29"/>
  <c r="F31" i="29"/>
  <c r="E31" i="29"/>
  <c r="D31" i="29"/>
  <c r="G26" i="29"/>
  <c r="G25" i="29"/>
  <c r="E9" i="29"/>
  <c r="E8" i="29"/>
  <c r="E6" i="29"/>
  <c r="M68" i="31" l="1"/>
  <c r="N68" i="31" s="1"/>
  <c r="O68" i="31" s="1"/>
  <c r="I68" i="31"/>
  <c r="J68" i="31" s="1"/>
  <c r="K68" i="31" s="1"/>
  <c r="E68" i="31"/>
  <c r="F68" i="31" s="1"/>
  <c r="G68" i="31" s="1"/>
  <c r="B68" i="31"/>
  <c r="O67" i="31"/>
  <c r="N67" i="31"/>
  <c r="J67" i="31"/>
  <c r="K67" i="31" s="1"/>
  <c r="F67" i="31"/>
  <c r="G67" i="31" s="1"/>
  <c r="O66" i="31"/>
  <c r="N66" i="31"/>
  <c r="K66" i="31"/>
  <c r="J66" i="31"/>
  <c r="F66" i="31"/>
  <c r="G66" i="31" s="1"/>
  <c r="N65" i="31"/>
  <c r="O65" i="31" s="1"/>
  <c r="K65" i="31"/>
  <c r="J65" i="31"/>
  <c r="G65" i="31"/>
  <c r="F65" i="31"/>
  <c r="N64" i="31"/>
  <c r="O64" i="31" s="1"/>
  <c r="J64" i="31"/>
  <c r="K64" i="31" s="1"/>
  <c r="G64" i="31"/>
  <c r="F64" i="31"/>
  <c r="O63" i="31"/>
  <c r="N63" i="31"/>
  <c r="J63" i="31"/>
  <c r="K63" i="31" s="1"/>
  <c r="F63" i="31"/>
  <c r="G63" i="31" s="1"/>
  <c r="O62" i="31"/>
  <c r="N62" i="31"/>
  <c r="K62" i="31"/>
  <c r="J62" i="31"/>
  <c r="F62" i="31"/>
  <c r="G62" i="31" s="1"/>
  <c r="N61" i="31"/>
  <c r="O61" i="31" s="1"/>
  <c r="K61" i="31"/>
  <c r="J61" i="31"/>
  <c r="G61" i="31"/>
  <c r="F61" i="31"/>
  <c r="N60" i="31"/>
  <c r="O60" i="31" s="1"/>
  <c r="J60" i="31"/>
  <c r="K60" i="31" s="1"/>
  <c r="G60" i="31"/>
  <c r="F60" i="31"/>
  <c r="O59" i="31"/>
  <c r="N59" i="31"/>
  <c r="J59" i="31"/>
  <c r="K59" i="31" s="1"/>
  <c r="F59" i="31"/>
  <c r="G59" i="31" s="1"/>
  <c r="O58" i="31"/>
  <c r="N58" i="31"/>
  <c r="K58" i="31"/>
  <c r="J58" i="31"/>
  <c r="F58" i="31"/>
  <c r="G58" i="31" s="1"/>
  <c r="N57" i="31"/>
  <c r="O57" i="31" s="1"/>
  <c r="K57" i="31"/>
  <c r="J57" i="31"/>
  <c r="G57" i="31"/>
  <c r="F57" i="31"/>
  <c r="N56" i="31"/>
  <c r="O56" i="31" s="1"/>
  <c r="J56" i="31"/>
  <c r="K56" i="31" s="1"/>
  <c r="G56" i="31"/>
  <c r="F56" i="31"/>
  <c r="O55" i="31"/>
  <c r="N55" i="31"/>
  <c r="J55" i="31"/>
  <c r="K55" i="31" s="1"/>
  <c r="F55" i="31"/>
  <c r="G55" i="31" s="1"/>
  <c r="O54" i="31"/>
  <c r="N54" i="31"/>
  <c r="K54" i="31"/>
  <c r="J54" i="31"/>
  <c r="F54" i="31"/>
  <c r="G54" i="31" s="1"/>
  <c r="N53" i="31"/>
  <c r="O53" i="31" s="1"/>
  <c r="K53" i="31"/>
  <c r="J53" i="31"/>
  <c r="G53" i="31"/>
  <c r="F53" i="31"/>
  <c r="N52" i="31"/>
  <c r="O52" i="31" s="1"/>
  <c r="J52" i="31"/>
  <c r="K52" i="31" s="1"/>
  <c r="G52" i="31"/>
  <c r="F52" i="31"/>
  <c r="O51" i="31"/>
  <c r="N51" i="31"/>
  <c r="J51" i="31"/>
  <c r="K51" i="31" s="1"/>
  <c r="F51" i="31"/>
  <c r="G51" i="31" s="1"/>
  <c r="O50" i="31"/>
  <c r="N50" i="31"/>
  <c r="K50" i="31"/>
  <c r="J50" i="31"/>
  <c r="F50" i="31"/>
  <c r="G50" i="31" s="1"/>
  <c r="N49" i="31"/>
  <c r="O49" i="31" s="1"/>
  <c r="K49" i="31"/>
  <c r="J49" i="31"/>
  <c r="G49" i="31"/>
  <c r="F49" i="31"/>
  <c r="N48" i="31"/>
  <c r="O48" i="31" s="1"/>
  <c r="J48" i="31"/>
  <c r="K48" i="31" s="1"/>
  <c r="G48" i="31"/>
  <c r="F48" i="31"/>
  <c r="O47" i="31"/>
  <c r="N47" i="31"/>
  <c r="J47" i="31"/>
  <c r="K47" i="31" s="1"/>
  <c r="F47" i="31"/>
  <c r="G47" i="31" s="1"/>
  <c r="O46" i="31"/>
  <c r="N46" i="31"/>
  <c r="K46" i="31"/>
  <c r="J46" i="31"/>
  <c r="F46" i="31"/>
  <c r="G46" i="31" s="1"/>
  <c r="N45" i="31"/>
  <c r="O45" i="31" s="1"/>
  <c r="K45" i="31"/>
  <c r="J45" i="31"/>
  <c r="G45" i="31"/>
  <c r="F45" i="31"/>
  <c r="N44" i="31"/>
  <c r="O44" i="31" s="1"/>
  <c r="J44" i="31"/>
  <c r="K44" i="31" s="1"/>
  <c r="G44" i="31"/>
  <c r="F44" i="31"/>
  <c r="O43" i="31"/>
  <c r="N43" i="31"/>
  <c r="J43" i="31"/>
  <c r="K43" i="31" s="1"/>
  <c r="F43" i="31"/>
  <c r="G43" i="31" s="1"/>
  <c r="O42" i="31"/>
  <c r="N42" i="31"/>
  <c r="K42" i="31"/>
  <c r="J42" i="31"/>
  <c r="F42" i="31"/>
  <c r="G42" i="31" s="1"/>
  <c r="N41" i="31"/>
  <c r="O41" i="31" s="1"/>
  <c r="K41" i="31"/>
  <c r="J41" i="31"/>
  <c r="G41" i="31"/>
  <c r="F41" i="31"/>
  <c r="N40" i="31"/>
  <c r="O40" i="31" s="1"/>
  <c r="J40" i="31"/>
  <c r="K40" i="31" s="1"/>
  <c r="G40" i="31"/>
  <c r="F40" i="31"/>
  <c r="O39" i="31"/>
  <c r="N39" i="31"/>
  <c r="J39" i="31"/>
  <c r="K39" i="31" s="1"/>
  <c r="F39" i="31"/>
  <c r="G39" i="31" s="1"/>
  <c r="O38" i="31"/>
  <c r="N38" i="31"/>
  <c r="K38" i="31"/>
  <c r="J38" i="31"/>
  <c r="F38" i="31"/>
  <c r="G38" i="31" s="1"/>
  <c r="N37" i="31"/>
  <c r="O37" i="31" s="1"/>
  <c r="K37" i="31"/>
  <c r="J37" i="31"/>
  <c r="G37" i="31"/>
  <c r="F37" i="31"/>
  <c r="N36" i="31"/>
  <c r="O36" i="31" s="1"/>
  <c r="J36" i="31"/>
  <c r="K36" i="31" s="1"/>
  <c r="G36" i="31"/>
  <c r="F36" i="31"/>
  <c r="O35" i="31"/>
  <c r="N35" i="31"/>
  <c r="J35" i="31"/>
  <c r="K35" i="31" s="1"/>
  <c r="F35" i="31"/>
  <c r="G35" i="31" s="1"/>
  <c r="O34" i="31"/>
  <c r="N34" i="31"/>
  <c r="K34" i="31"/>
  <c r="J34" i="31"/>
  <c r="F34" i="31"/>
  <c r="G34" i="31" s="1"/>
  <c r="N33" i="31"/>
  <c r="O33" i="31" s="1"/>
  <c r="K33" i="31"/>
  <c r="J33" i="31"/>
  <c r="G33" i="31"/>
  <c r="F33" i="31"/>
  <c r="N32" i="31"/>
  <c r="O32" i="31" s="1"/>
  <c r="J32" i="31"/>
  <c r="K32" i="31" s="1"/>
  <c r="G32" i="31"/>
  <c r="F32" i="31"/>
  <c r="O31" i="31"/>
  <c r="N31" i="31"/>
  <c r="J31" i="31"/>
  <c r="K31" i="31" s="1"/>
  <c r="F31" i="31"/>
  <c r="G31" i="31" s="1"/>
  <c r="O30" i="31"/>
  <c r="N30" i="31"/>
  <c r="K30" i="31"/>
  <c r="J30" i="31"/>
  <c r="F30" i="31"/>
  <c r="G30" i="31" s="1"/>
  <c r="N29" i="31"/>
  <c r="O29" i="31" s="1"/>
  <c r="K29" i="31"/>
  <c r="J29" i="31"/>
  <c r="G29" i="31"/>
  <c r="F29" i="31"/>
  <c r="N28" i="31"/>
  <c r="O28" i="31" s="1"/>
  <c r="J28" i="31"/>
  <c r="K28" i="31" s="1"/>
  <c r="G28" i="31"/>
  <c r="F28" i="31"/>
  <c r="O27" i="31"/>
  <c r="N27" i="31"/>
  <c r="J27" i="31"/>
  <c r="K27" i="31" s="1"/>
  <c r="F27" i="31"/>
  <c r="G27" i="31" s="1"/>
  <c r="O26" i="31"/>
  <c r="N26" i="31"/>
  <c r="K26" i="31"/>
  <c r="J26" i="31"/>
  <c r="F26" i="31"/>
  <c r="G26" i="31" s="1"/>
  <c r="N25" i="31"/>
  <c r="O25" i="31" s="1"/>
  <c r="K25" i="31"/>
  <c r="J25" i="31"/>
  <c r="G25" i="31"/>
  <c r="F25" i="31"/>
  <c r="N24" i="31"/>
  <c r="O24" i="31" s="1"/>
  <c r="J24" i="31"/>
  <c r="K24" i="31" s="1"/>
  <c r="G24" i="31"/>
  <c r="F24" i="31"/>
  <c r="O23" i="31"/>
  <c r="N23" i="31"/>
  <c r="J23" i="31"/>
  <c r="K23" i="31" s="1"/>
  <c r="F23" i="31"/>
  <c r="G23" i="31" s="1"/>
  <c r="O22" i="31"/>
  <c r="N22" i="31"/>
  <c r="K22" i="31"/>
  <c r="J22" i="31"/>
  <c r="F22" i="31"/>
  <c r="G22" i="31" s="1"/>
  <c r="N21" i="31"/>
  <c r="O21" i="31" s="1"/>
  <c r="K21" i="31"/>
  <c r="J21" i="31"/>
  <c r="G21" i="31"/>
  <c r="F21" i="31"/>
  <c r="N20" i="31"/>
  <c r="O20" i="31" s="1"/>
  <c r="J20" i="31"/>
  <c r="K20" i="31" s="1"/>
  <c r="G20" i="31"/>
  <c r="F20" i="31"/>
  <c r="O19" i="31"/>
  <c r="N19" i="31"/>
  <c r="J19" i="31"/>
  <c r="K19" i="31" s="1"/>
  <c r="F19" i="31"/>
  <c r="G19" i="31" s="1"/>
  <c r="O18" i="31"/>
  <c r="N18" i="31"/>
  <c r="K18" i="31"/>
  <c r="J18" i="31"/>
  <c r="F18" i="31"/>
  <c r="G18" i="31" s="1"/>
  <c r="N17" i="31"/>
  <c r="O17" i="31" s="1"/>
  <c r="K17" i="31"/>
  <c r="J17" i="31"/>
  <c r="G17" i="31"/>
  <c r="F17" i="31"/>
  <c r="N16" i="31"/>
  <c r="O16" i="31" s="1"/>
  <c r="J16" i="31"/>
  <c r="K16" i="31" s="1"/>
  <c r="G16" i="31"/>
  <c r="F16" i="31"/>
  <c r="O15" i="31"/>
  <c r="N15" i="31"/>
  <c r="J15" i="31"/>
  <c r="K15" i="31" s="1"/>
  <c r="F15" i="31"/>
  <c r="G15" i="31" s="1"/>
  <c r="O14" i="31"/>
  <c r="N14" i="31"/>
  <c r="K14" i="31"/>
  <c r="J14" i="31"/>
  <c r="F14" i="31"/>
  <c r="G14" i="31" s="1"/>
  <c r="N13" i="31"/>
  <c r="O13" i="31" s="1"/>
  <c r="K13" i="31"/>
  <c r="J13" i="31"/>
  <c r="G13" i="31"/>
  <c r="F13" i="31"/>
  <c r="N12" i="31"/>
  <c r="O12" i="31" s="1"/>
  <c r="J12" i="31"/>
  <c r="K12" i="31" s="1"/>
  <c r="G12" i="31"/>
  <c r="F12" i="31"/>
  <c r="O11" i="31"/>
  <c r="N11" i="31"/>
  <c r="J11" i="31"/>
  <c r="K11" i="31" s="1"/>
  <c r="F11" i="31"/>
  <c r="G11" i="31" s="1"/>
  <c r="O10" i="31"/>
  <c r="N10" i="31"/>
  <c r="K10" i="31"/>
  <c r="J10" i="31"/>
  <c r="F10" i="31"/>
  <c r="G10" i="31" s="1"/>
  <c r="N9" i="31"/>
  <c r="O9" i="31" s="1"/>
  <c r="K9" i="31"/>
  <c r="J9" i="31"/>
  <c r="G9" i="31"/>
  <c r="F9" i="31"/>
  <c r="N8" i="31"/>
  <c r="O8" i="31" s="1"/>
  <c r="J8" i="31"/>
  <c r="K8" i="31" s="1"/>
  <c r="G8" i="31"/>
  <c r="F8" i="31"/>
  <c r="F45" i="30" l="1"/>
  <c r="H45" i="30" s="1"/>
  <c r="F44" i="30"/>
  <c r="H44" i="30" s="1"/>
  <c r="G27" i="30"/>
  <c r="F9" i="30"/>
  <c r="F8" i="30"/>
  <c r="G46" i="29"/>
  <c r="D20" i="15"/>
  <c r="G27" i="29"/>
  <c r="D15" i="15" s="1"/>
  <c r="F9" i="29"/>
  <c r="F8" i="29"/>
  <c r="C46" i="30" l="1"/>
  <c r="E46" i="30"/>
  <c r="D46" i="30"/>
  <c r="F43" i="30"/>
  <c r="D37" i="29"/>
  <c r="D24" i="15"/>
  <c r="H45" i="29"/>
  <c r="D26" i="15" s="1"/>
  <c r="H48" i="29"/>
  <c r="F44" i="29"/>
  <c r="H44" i="29" s="1"/>
  <c r="D25" i="15" s="1"/>
  <c r="C46" i="29"/>
  <c r="D46" i="29"/>
  <c r="H40" i="29"/>
  <c r="F46" i="30" l="1"/>
  <c r="H43" i="30"/>
  <c r="H46" i="30" s="1"/>
  <c r="H46" i="29"/>
  <c r="F46" i="29"/>
  <c r="I29" i="19" l="1"/>
  <c r="J29" i="19"/>
  <c r="K29" i="19"/>
  <c r="L14" i="19"/>
  <c r="L17" i="19"/>
  <c r="L16" i="19"/>
  <c r="L15" i="19"/>
  <c r="B1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London, Jane EDUC:EX</author>
  </authors>
  <commentList>
    <comment ref="E29" authorId="0" shapeId="0" xr:uid="{680BDBC8-5044-45B3-B58B-61AAF72EAA89}">
      <text>
        <r>
          <rPr>
            <b/>
            <sz val="9"/>
            <color indexed="81"/>
            <rFont val="Tahoma"/>
            <family val="2"/>
          </rPr>
          <t>ECC:
From "7.70 Student Transportation Operating Fund Expenses - per June 30, 2023 audited Financial Statements", includes (1) salaries &amp; benefits, &amp; (2) services &amp; supplies.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tc={600A3519-98FF-412C-B16D-5AABC793DD36}</author>
    <author>London, Jane EDUC:EX</author>
    <author>tc={11C3F42A-EA35-4E28-9E9D-17B83280DB3C}</author>
    <author>Santana, Sebastian EDUC:EX</author>
  </authors>
  <commentList>
    <comment ref="A2" authorId="0" shapeId="0" xr:uid="{600A3519-98FF-412C-B16D-5AABC793DD36}">
      <text>
        <t xml:space="preserve">[Threaded comment]
Your version of Excel allows you to read this threaded comment; however, any edits to it will get removed if the file is opened in a newer version of Excel. Learn more: https://go.microsoft.com/fwlink/?linkid=870924
Comment:
    Update point 2?
</t>
      </text>
    </comment>
    <comment ref="E29" authorId="1" shapeId="0" xr:uid="{6FFD80D0-2C4E-42FC-BAE2-D7938A763DB9}">
      <text>
        <r>
          <rPr>
            <b/>
            <sz val="9"/>
            <color indexed="81"/>
            <rFont val="Tahoma"/>
            <family val="2"/>
          </rPr>
          <t>ECC:
From "7.70 Student Transportation Operating Fund Expenses - per June 30, 2023 audited Financial Statements", includes (1) salaries &amp; benefits, &amp; (2) services &amp; supplies.</t>
        </r>
        <r>
          <rPr>
            <sz val="9"/>
            <color indexed="81"/>
            <rFont val="Tahoma"/>
            <family val="2"/>
          </rPr>
          <t xml:space="preserve">
</t>
        </r>
      </text>
    </comment>
    <comment ref="B35" authorId="2" shapeId="0" xr:uid="{11C3F42A-EA35-4E28-9E9D-17B83280DB3C}">
      <text>
        <t>[Threaded comment]
Your version of Excel allows you to read this threaded comment; however, any edits to it will get removed if the file is opened in a newer version of Excel. Learn more: https://go.microsoft.com/fwlink/?linkid=870924
Comment:
    Update Link</t>
      </text>
    </comment>
    <comment ref="C42" authorId="3" shapeId="0" xr:uid="{4481CE28-441F-4F80-B818-767991AF7FDB}">
      <text>
        <r>
          <rPr>
            <b/>
            <sz val="9"/>
            <color indexed="81"/>
            <rFont val="Tahoma"/>
            <family val="2"/>
          </rPr>
          <t>EDUC:EX:</t>
        </r>
        <r>
          <rPr>
            <sz val="9"/>
            <color indexed="81"/>
            <rFont val="Tahoma"/>
            <family val="2"/>
          </rPr>
          <t xml:space="preserve">
</t>
        </r>
        <r>
          <rPr>
            <b/>
            <sz val="9"/>
            <color indexed="81"/>
            <rFont val="Tahoma"/>
            <family val="2"/>
          </rPr>
          <t xml:space="preserve">2021/22
BCTEA actuals have already been identified. &lt;&lt;do we rquire this note, here?&gt;&gt;
</t>
        </r>
      </text>
    </comment>
  </commentList>
</comments>
</file>

<file path=xl/sharedStrings.xml><?xml version="1.0" encoding="utf-8"?>
<sst xmlns="http://schemas.openxmlformats.org/spreadsheetml/2006/main" count="1090" uniqueCount="499">
  <si>
    <t xml:space="preserve"> </t>
  </si>
  <si>
    <t>Provincial Grants</t>
  </si>
  <si>
    <t>Yellow portion to be completed by school district</t>
  </si>
  <si>
    <t xml:space="preserve">Instructions: </t>
  </si>
  <si>
    <t>Provincial general operating grant</t>
  </si>
  <si>
    <t>Total BCTEA FNST Funds</t>
  </si>
  <si>
    <t>Kootenay Lake</t>
  </si>
  <si>
    <t>Richmond</t>
  </si>
  <si>
    <t>Burnaby</t>
  </si>
  <si>
    <t>Boundary</t>
  </si>
  <si>
    <t>Gulf Islands</t>
  </si>
  <si>
    <t>SD Number</t>
  </si>
  <si>
    <t>Student Location Factor</t>
  </si>
  <si>
    <t>Due Date:</t>
  </si>
  <si>
    <t>Instructions:</t>
  </si>
  <si>
    <t xml:space="preserve">District Number: </t>
  </si>
  <si>
    <t>District Name:</t>
  </si>
  <si>
    <t>Transportation Cost of First Nations Student Participation</t>
  </si>
  <si>
    <t>soccer</t>
  </si>
  <si>
    <t>One Week</t>
  </si>
  <si>
    <t>Twice a Week</t>
  </si>
  <si>
    <t>field hockey</t>
  </si>
  <si>
    <t>Three Weeks</t>
  </si>
  <si>
    <t>Once a Week</t>
  </si>
  <si>
    <t>One Time</t>
  </si>
  <si>
    <t>Once</t>
  </si>
  <si>
    <t>Two Weeks</t>
  </si>
  <si>
    <t>3) To/from "custom" bus service/route for students with exceptional and or diverse needs.</t>
  </si>
  <si>
    <t>5) Bus monitors for bus routes requiring supervision.</t>
  </si>
  <si>
    <t>6) Transportation to/from extracurricular activities.</t>
  </si>
  <si>
    <t>* Complete yellow cells below</t>
  </si>
  <si>
    <t>Totals:</t>
  </si>
  <si>
    <t>FN_STF</t>
  </si>
  <si>
    <t>FN_SLF</t>
  </si>
  <si>
    <t>FN_SSLF</t>
  </si>
  <si>
    <t>FN_SR</t>
  </si>
  <si>
    <t>Provincial Student Transportation Fund (STF)</t>
  </si>
  <si>
    <t>To/From and Special Supports</t>
  </si>
  <si>
    <t>Bus Shelters (Not funded beyond 2019/20)</t>
  </si>
  <si>
    <t>Sheet Name</t>
  </si>
  <si>
    <t>Section</t>
  </si>
  <si>
    <t>Row Value</t>
  </si>
  <si>
    <t>Spending Report</t>
  </si>
  <si>
    <t>Other sources</t>
  </si>
  <si>
    <t>Background</t>
  </si>
  <si>
    <t>BC Residents Requiring Transportation</t>
  </si>
  <si>
    <t>Nominal Roll Students Requiring Transportation</t>
  </si>
  <si>
    <t>Actuals and Revenue</t>
  </si>
  <si>
    <t>Operating Grant Spending</t>
  </si>
  <si>
    <t>Other Sources Spending</t>
  </si>
  <si>
    <t>STF Spending</t>
  </si>
  <si>
    <t>Other Sources Funds</t>
  </si>
  <si>
    <t>BCTEA Funding</t>
  </si>
  <si>
    <t>To/From Spending</t>
  </si>
  <si>
    <t>Bus Shelter Spending</t>
  </si>
  <si>
    <t>EX Spending</t>
  </si>
  <si>
    <t>To/From Carryover</t>
  </si>
  <si>
    <t>Bus Shelter Carryover</t>
  </si>
  <si>
    <t>EX Carryover</t>
  </si>
  <si>
    <t>Details on BCTEA</t>
  </si>
  <si>
    <t>Text Box on Benefits from BCTEA</t>
  </si>
  <si>
    <t>Row Label</t>
  </si>
  <si>
    <t>Extracurricular Report</t>
  </si>
  <si>
    <t>Type of activity</t>
  </si>
  <si>
    <t>Gender of participants</t>
  </si>
  <si>
    <t>First Nation Participation</t>
  </si>
  <si>
    <t>Transportation Cost</t>
  </si>
  <si>
    <t>EX Type1</t>
  </si>
  <si>
    <t>EX Type2</t>
  </si>
  <si>
    <t>EX Type3</t>
  </si>
  <si>
    <t>EX Type4</t>
  </si>
  <si>
    <t>EX Type5</t>
  </si>
  <si>
    <t>EX Type6</t>
  </si>
  <si>
    <t>EX Type7</t>
  </si>
  <si>
    <t>EX Type8</t>
  </si>
  <si>
    <t>EX Type9</t>
  </si>
  <si>
    <t>EX Type10</t>
  </si>
  <si>
    <t>EX Type11</t>
  </si>
  <si>
    <t>EX Type12</t>
  </si>
  <si>
    <t>EX Type13</t>
  </si>
  <si>
    <t>EX Type14</t>
  </si>
  <si>
    <t>EX Type15</t>
  </si>
  <si>
    <t>Number of All Students1</t>
  </si>
  <si>
    <t>Number of All Students2</t>
  </si>
  <si>
    <t>Number of All Students3</t>
  </si>
  <si>
    <t>Number of All Students4</t>
  </si>
  <si>
    <t>Number of All Students5</t>
  </si>
  <si>
    <t>Number of All Students6</t>
  </si>
  <si>
    <t>Number of All Students7</t>
  </si>
  <si>
    <t>Number of All Students8</t>
  </si>
  <si>
    <t>Number of All Students9</t>
  </si>
  <si>
    <t>Number of All Students10</t>
  </si>
  <si>
    <t>Number of All Students11</t>
  </si>
  <si>
    <t>Number of All Students12</t>
  </si>
  <si>
    <t>Number of All Students13</t>
  </si>
  <si>
    <t>Number of All Students14</t>
  </si>
  <si>
    <t>Number of All Students15</t>
  </si>
  <si>
    <t>Number of FN Students1</t>
  </si>
  <si>
    <t>Number of FN Students2</t>
  </si>
  <si>
    <t>Number of FN Students3</t>
  </si>
  <si>
    <t>Number of FN Students4</t>
  </si>
  <si>
    <t>Number of FN Students5</t>
  </si>
  <si>
    <t>Number of FN Students6</t>
  </si>
  <si>
    <t>Number of FN Students7</t>
  </si>
  <si>
    <t>Number of FN Students8</t>
  </si>
  <si>
    <t>Number of FN Students9</t>
  </si>
  <si>
    <t>Number of FN Students10</t>
  </si>
  <si>
    <t>Number of FN Students11</t>
  </si>
  <si>
    <t>Number of FN Students12</t>
  </si>
  <si>
    <t>Number of FN Students13</t>
  </si>
  <si>
    <t>Number of FN Students14</t>
  </si>
  <si>
    <t>Number of FN Students15</t>
  </si>
  <si>
    <t>Male Students1</t>
  </si>
  <si>
    <t>Male Students2</t>
  </si>
  <si>
    <t>Male Students3</t>
  </si>
  <si>
    <t>Male Students4</t>
  </si>
  <si>
    <t>Male Students5</t>
  </si>
  <si>
    <t>Male Students6</t>
  </si>
  <si>
    <t>Male Students7</t>
  </si>
  <si>
    <t>Male Students8</t>
  </si>
  <si>
    <t>Male Students9</t>
  </si>
  <si>
    <t>Male Students10</t>
  </si>
  <si>
    <t>Male Students11</t>
  </si>
  <si>
    <t>Male Students12</t>
  </si>
  <si>
    <t>Male Students13</t>
  </si>
  <si>
    <t>Male Students14</t>
  </si>
  <si>
    <t>Male Students15</t>
  </si>
  <si>
    <t>Female Students1</t>
  </si>
  <si>
    <t>Female Students2</t>
  </si>
  <si>
    <t>Female Students3</t>
  </si>
  <si>
    <t>Female Students4</t>
  </si>
  <si>
    <t>Female Students5</t>
  </si>
  <si>
    <t>Female Students6</t>
  </si>
  <si>
    <t>Female Students7</t>
  </si>
  <si>
    <t>Female Students8</t>
  </si>
  <si>
    <t>Female Students9</t>
  </si>
  <si>
    <t>Female Students10</t>
  </si>
  <si>
    <t>Female Students11</t>
  </si>
  <si>
    <t>Female Students12</t>
  </si>
  <si>
    <t>Female Students13</t>
  </si>
  <si>
    <t>Female Students14</t>
  </si>
  <si>
    <t>Female Students15</t>
  </si>
  <si>
    <t>Other Students1</t>
  </si>
  <si>
    <t>Other Students2</t>
  </si>
  <si>
    <t>Other Students3</t>
  </si>
  <si>
    <t>Other Students4</t>
  </si>
  <si>
    <t>Other Students5</t>
  </si>
  <si>
    <t>Other Students6</t>
  </si>
  <si>
    <t>Other Students7</t>
  </si>
  <si>
    <t>Other Students8</t>
  </si>
  <si>
    <t>Other Students9</t>
  </si>
  <si>
    <t>Other Students10</t>
  </si>
  <si>
    <t>Other Students11</t>
  </si>
  <si>
    <t>Other Students12</t>
  </si>
  <si>
    <t>Other Students13</t>
  </si>
  <si>
    <t>Other Students14</t>
  </si>
  <si>
    <t>Other Students15</t>
  </si>
  <si>
    <t>Duration of Activity1</t>
  </si>
  <si>
    <t>Duration of Activity2</t>
  </si>
  <si>
    <t>Duration of Activity3</t>
  </si>
  <si>
    <t>Duration of Activity4</t>
  </si>
  <si>
    <t>Duration of Activity5</t>
  </si>
  <si>
    <t>Duration of Activity6</t>
  </si>
  <si>
    <t>Duration of Activity7</t>
  </si>
  <si>
    <t>Duration of Activity8</t>
  </si>
  <si>
    <t>Duration of Activity9</t>
  </si>
  <si>
    <t>Duration of Activity10</t>
  </si>
  <si>
    <t>Duration of Activity11</t>
  </si>
  <si>
    <t>Duration of Activity12</t>
  </si>
  <si>
    <t>Duration of Activity13</t>
  </si>
  <si>
    <t>Duration of Activity14</t>
  </si>
  <si>
    <t>Duration of Activity15</t>
  </si>
  <si>
    <t>Frequency of Participation1</t>
  </si>
  <si>
    <t>Frequency of Participation2</t>
  </si>
  <si>
    <t>Frequency of Participation3</t>
  </si>
  <si>
    <t>Frequency of Participation4</t>
  </si>
  <si>
    <t>Frequency of Participation5</t>
  </si>
  <si>
    <t>Frequency of Participation6</t>
  </si>
  <si>
    <t>Frequency of Participation7</t>
  </si>
  <si>
    <t>Frequency of Participation8</t>
  </si>
  <si>
    <t>Frequency of Participation9</t>
  </si>
  <si>
    <t>Frequency of Participation10</t>
  </si>
  <si>
    <t>Frequency of Participation11</t>
  </si>
  <si>
    <t>Frequency of Participation12</t>
  </si>
  <si>
    <t>Frequency of Participation13</t>
  </si>
  <si>
    <t>Frequency of Participation14</t>
  </si>
  <si>
    <t>Frequency of Participation15</t>
  </si>
  <si>
    <t>Number of Students1</t>
  </si>
  <si>
    <t>Number of Students2</t>
  </si>
  <si>
    <t>Number of Students3</t>
  </si>
  <si>
    <t>Number of Students4</t>
  </si>
  <si>
    <t>Number of Students5</t>
  </si>
  <si>
    <t>Number of Students6</t>
  </si>
  <si>
    <t>Number of Students7</t>
  </si>
  <si>
    <t>Number of Students8</t>
  </si>
  <si>
    <t>Number of Students9</t>
  </si>
  <si>
    <t>Number of Students10</t>
  </si>
  <si>
    <t>Number of Students11</t>
  </si>
  <si>
    <t>Number of Students12</t>
  </si>
  <si>
    <t>Number of Students13</t>
  </si>
  <si>
    <t>Number of Students14</t>
  </si>
  <si>
    <t>Number of Students15</t>
  </si>
  <si>
    <t>Rate per KM1</t>
  </si>
  <si>
    <t>Rate per KM2</t>
  </si>
  <si>
    <t>Rate per KM3</t>
  </si>
  <si>
    <t>Rate per KM4</t>
  </si>
  <si>
    <t>Rate per KM5</t>
  </si>
  <si>
    <t>Rate per KM6</t>
  </si>
  <si>
    <t>Rate per KM7</t>
  </si>
  <si>
    <t>Rate per KM8</t>
  </si>
  <si>
    <t>Rate per KM9</t>
  </si>
  <si>
    <t>Rate per KM10</t>
  </si>
  <si>
    <t>Rate per KM11</t>
  </si>
  <si>
    <t>Rate per KM12</t>
  </si>
  <si>
    <t>Rate per KM13</t>
  </si>
  <si>
    <t>Rate per KM14</t>
  </si>
  <si>
    <t>Rate per KM15</t>
  </si>
  <si>
    <t>Number of KM1</t>
  </si>
  <si>
    <t>Number of KM2</t>
  </si>
  <si>
    <t>Number of KM3</t>
  </si>
  <si>
    <t>Number of KM4</t>
  </si>
  <si>
    <t>Number of KM5</t>
  </si>
  <si>
    <t>Number of KM6</t>
  </si>
  <si>
    <t>Number of KM7</t>
  </si>
  <si>
    <t>Number of KM8</t>
  </si>
  <si>
    <t>Number of KM9</t>
  </si>
  <si>
    <t>Number of KM10</t>
  </si>
  <si>
    <t>Number of KM11</t>
  </si>
  <si>
    <t>Number of KM12</t>
  </si>
  <si>
    <t>Number of KM13</t>
  </si>
  <si>
    <t>Number of KM14</t>
  </si>
  <si>
    <t>Number of KM15</t>
  </si>
  <si>
    <t>Total Costs1</t>
  </si>
  <si>
    <t>Total Costs2</t>
  </si>
  <si>
    <t>Total Costs3</t>
  </si>
  <si>
    <t>Total Costs4</t>
  </si>
  <si>
    <t>Total Costs5</t>
  </si>
  <si>
    <t>Total Costs6</t>
  </si>
  <si>
    <t>Total Costs7</t>
  </si>
  <si>
    <t>Total Costs8</t>
  </si>
  <si>
    <t>Total Costs9</t>
  </si>
  <si>
    <t>Total Costs10</t>
  </si>
  <si>
    <t>Total Costs11</t>
  </si>
  <si>
    <t>Total Costs12</t>
  </si>
  <si>
    <t>Total Costs13</t>
  </si>
  <si>
    <t>Total Costs14</t>
  </si>
  <si>
    <t>Total Costs15</t>
  </si>
  <si>
    <t>G. Provide details of how BCTEA to/from transportation funding assisted in reducing student travel and wait times, improving services by adding additional or extending bus routes. If there were additional benefits not initially anticipated please include (expand row height to add more detail):</t>
  </si>
  <si>
    <t>2) To/from "regular" bus service/route for all students attending regular school programs within normal school hours, who reside beyond school district boundaries.</t>
  </si>
  <si>
    <t>"Water travelers dock safety resource an exceptional resource for safety".
"The community bus operated allowed for frequent communication between the community, families and the bus drivers. E.g., connecting daily to make individual arrangements. This served as a personalized approach to transportation due in part to those community connections".</t>
  </si>
  <si>
    <t>Description of srvices 1</t>
  </si>
  <si>
    <t>Description of srvices 2</t>
  </si>
  <si>
    <t>Description of srvices 3</t>
  </si>
  <si>
    <t>Description of srvices 4</t>
  </si>
  <si>
    <t>Description of srvices 5</t>
  </si>
  <si>
    <t>Description of srvices 6</t>
  </si>
  <si>
    <t>Description of srvices 7</t>
  </si>
  <si>
    <t>Description of srvices 8</t>
  </si>
  <si>
    <t>Description of srvices 9</t>
  </si>
  <si>
    <t>Backround</t>
  </si>
  <si>
    <t>Total Provincial Funding</t>
  </si>
  <si>
    <t>Nisga'a</t>
  </si>
  <si>
    <t>Nechako Lakes</t>
  </si>
  <si>
    <t>Stikine</t>
  </si>
  <si>
    <t>Vancouver Island North</t>
  </si>
  <si>
    <t>Vancouver Island West</t>
  </si>
  <si>
    <t>North Okanagan-Shuswap</t>
  </si>
  <si>
    <t>Coast Mountains</t>
  </si>
  <si>
    <t>Fort Nelson</t>
  </si>
  <si>
    <t>Cowichan Valley</t>
  </si>
  <si>
    <t>Fraser-Cascade</t>
  </si>
  <si>
    <t>Mission</t>
  </si>
  <si>
    <t>Gold Trail</t>
  </si>
  <si>
    <t>Kamloops-Thompson</t>
  </si>
  <si>
    <t>Campbell River</t>
  </si>
  <si>
    <t>Comox Valley</t>
  </si>
  <si>
    <t>Pacific Rim</t>
  </si>
  <si>
    <t>Qualicum</t>
  </si>
  <si>
    <t>Nanaimo-Ladysmith</t>
  </si>
  <si>
    <t>Okanagan Skaha</t>
  </si>
  <si>
    <t>Saanich</t>
  </si>
  <si>
    <t>Sooke</t>
  </si>
  <si>
    <t>Greater Victoria</t>
  </si>
  <si>
    <t>Peace River North</t>
  </si>
  <si>
    <t>Peace River South</t>
  </si>
  <si>
    <t>Nicola-Similkameen</t>
  </si>
  <si>
    <t>Prince George</t>
  </si>
  <si>
    <t>Bulkley Valley</t>
  </si>
  <si>
    <t>Okanagan Similkameen</t>
  </si>
  <si>
    <t>Prince Rupert</t>
  </si>
  <si>
    <t>Haida Gwaii</t>
  </si>
  <si>
    <t>Central Coast</t>
  </si>
  <si>
    <t>Powell River</t>
  </si>
  <si>
    <t>Sunshine Coast</t>
  </si>
  <si>
    <t>West Vancouver</t>
  </si>
  <si>
    <t>North Vancouver</t>
  </si>
  <si>
    <t>Coquitlam</t>
  </si>
  <si>
    <t>Maple Ridge-Pitt Meadows</t>
  </si>
  <si>
    <t>New Westminster</t>
  </si>
  <si>
    <t>Vancouver</t>
  </si>
  <si>
    <t>Delta</t>
  </si>
  <si>
    <t>Surrey</t>
  </si>
  <si>
    <t>Langley</t>
  </si>
  <si>
    <t>Abbotsford</t>
  </si>
  <si>
    <t>Chilliwack</t>
  </si>
  <si>
    <t>Quesnel</t>
  </si>
  <si>
    <t>Cariboo-Chilcotin</t>
  </si>
  <si>
    <t>Central Okanagan</t>
  </si>
  <si>
    <t>Vernon</t>
  </si>
  <si>
    <t>Kootenay-Columbia</t>
  </si>
  <si>
    <t>Revelstoke</t>
  </si>
  <si>
    <t>Rocky Mountain</t>
  </si>
  <si>
    <t>FN Rate</t>
  </si>
  <si>
    <t>Rate - SSLF</t>
  </si>
  <si>
    <t>Rate - SLF</t>
  </si>
  <si>
    <t>Rate - STF</t>
  </si>
  <si>
    <t>FTE</t>
  </si>
  <si>
    <t>of Overall</t>
  </si>
  <si>
    <t>Student</t>
  </si>
  <si>
    <t>Allocation</t>
  </si>
  <si>
    <t>School District</t>
  </si>
  <si>
    <t>% STF</t>
  </si>
  <si>
    <t>First Nation</t>
  </si>
  <si>
    <t>District</t>
  </si>
  <si>
    <t>Total</t>
  </si>
  <si>
    <t>Supplemental Student Location Factor</t>
  </si>
  <si>
    <t>Student Transportation Fund</t>
  </si>
  <si>
    <t>The signatures below indicate the BCTEA Transportation Report (Report) has been shared with the First Nation to inform the conversation regarding their Joint Transportation Plan. Since the Report is a summary of school district spending that has not been customized for each First Nation (unlike the Joint Transportation Plan), the First Nation’s signature indicate acknowledgement that the information has been received and is not intended to be an approval.</t>
  </si>
  <si>
    <t>(I) 
Number of Students</t>
  </si>
  <si>
    <t>(J) 
Rate per Kilometer</t>
  </si>
  <si>
    <t>(K) 
Number of Kilometers</t>
  </si>
  <si>
    <t>(L)
Total Cost</t>
  </si>
  <si>
    <t>(H) 
Frequency of First Nation Student Participation (i.e. Once, Number of Times per Week, etc.)</t>
  </si>
  <si>
    <t>(G) 
Duration of Activity (i.e. Number of Weeks)</t>
  </si>
  <si>
    <t>(B) 
Total Number of All Students Participating in Activity (including non-Indigenous students)</t>
  </si>
  <si>
    <t>(D) 
Gender Identity (Male) Count</t>
  </si>
  <si>
    <t>(E) 
Gender Identity (Female) Count</t>
  </si>
  <si>
    <t>(F) 
Gender Identity (Other) 
Count</t>
  </si>
  <si>
    <r>
      <t xml:space="preserve">Gender Identity </t>
    </r>
    <r>
      <rPr>
        <b/>
        <sz val="11"/>
        <color rgb="FFFF0000"/>
        <rFont val="Calibri"/>
        <family val="2"/>
        <scheme val="minor"/>
      </rPr>
      <t xml:space="preserve">Count </t>
    </r>
    <r>
      <rPr>
        <b/>
        <sz val="11"/>
        <rFont val="Calibri"/>
        <family val="2"/>
        <scheme val="minor"/>
      </rPr>
      <t>of First Nation Student(s)</t>
    </r>
  </si>
  <si>
    <t>4) Parental transportation assistance.</t>
  </si>
  <si>
    <t>8) Support for students who walk e.g., walking school bus and/or crossing guards.</t>
  </si>
  <si>
    <t>1) To/from "regular" bus service/route for all students attending regular school programs within normal school hours, who reside within school district boundaries e.g., 4-5 kms from school.</t>
  </si>
  <si>
    <t xml:space="preserve">C. Provincial: Transportation Services Actuals and Revenue 
(see the Report Example Tab for more details or comments)
</t>
  </si>
  <si>
    <r>
      <rPr>
        <b/>
        <sz val="11"/>
        <color theme="1"/>
        <rFont val="Calibri"/>
        <family val="2"/>
        <scheme val="minor"/>
      </rPr>
      <t>Contained within the operating grant - for reference</t>
    </r>
    <r>
      <rPr>
        <sz val="11"/>
        <color theme="1"/>
        <rFont val="Calibri"/>
        <family val="2"/>
        <scheme val="minor"/>
      </rPr>
      <t xml:space="preserve">:  </t>
    </r>
  </si>
  <si>
    <t>% increase/decrease from previous year</t>
  </si>
  <si>
    <t xml:space="preserve">1. Select School District number from the drop down menu on the right to pre-populate with information below. </t>
  </si>
  <si>
    <t>7) Transportation over water (taxi, ferry, other) and/or water supports (safety resource/chaperone).</t>
  </si>
  <si>
    <t xml:space="preserve">basketball </t>
  </si>
  <si>
    <t>art</t>
  </si>
  <si>
    <t>Supplemental
Student Location
Factor Funding</t>
  </si>
  <si>
    <t xml:space="preserve"> Southeast Kootenay</t>
  </si>
  <si>
    <t xml:space="preserve"> Arrow Lakes</t>
  </si>
  <si>
    <t>Sea To Sky</t>
  </si>
  <si>
    <t>Conseil Scolaire Francophone</t>
  </si>
  <si>
    <t>TO/FROM cds</t>
  </si>
  <si>
    <t>Please refer to (1.1) Revenue-Spending Example for reference on how to complete this form.</t>
  </si>
  <si>
    <t xml:space="preserve"> Student Location Factor (SLF)</t>
  </si>
  <si>
    <t>Supplementary Student Location Factor (SSLF)</t>
  </si>
  <si>
    <t>Board Chair (or delegate) signature</t>
  </si>
  <si>
    <t>Date</t>
  </si>
  <si>
    <t xml:space="preserve">Chief of the First Nation (or delegate) signature   </t>
  </si>
  <si>
    <t xml:space="preserve">School District name and number                                                            </t>
  </si>
  <si>
    <t>(C) 
Number of First Nation Students Participating (including those not requiring transportation)</t>
  </si>
  <si>
    <r>
      <t>A. Provide a description of school district transportation services provided to all students, including First Nation students living on reserve (expand row height to add more detail): See Sample Tab.</t>
    </r>
    <r>
      <rPr>
        <b/>
        <sz val="11"/>
        <color theme="5"/>
        <rFont val="Calibri"/>
        <family val="2"/>
        <scheme val="minor"/>
      </rPr>
      <t xml:space="preserve"> </t>
    </r>
    <r>
      <rPr>
        <sz val="11"/>
        <rFont val="Calibri"/>
        <family val="2"/>
        <scheme val="minor"/>
      </rPr>
      <t xml:space="preserve">List all of the services provided by the school district (prior to submitting the first Joint Plan and accessing the First Nation Student Transportation Fund) including transportation to extracurricular activities and water transportation. Additional transportation services funded by the district and implemented since the initial Joint Plan may be included here. Indicate if there have been new, modified or cancelled transportation services over last year.  </t>
    </r>
  </si>
  <si>
    <t>* Consult worksheet (2.1) Extracurricular Example for a completed example of the form.</t>
  </si>
  <si>
    <r>
      <t>D.</t>
    </r>
    <r>
      <rPr>
        <sz val="11"/>
        <rFont val="Calibri"/>
        <family val="2"/>
        <scheme val="minor"/>
      </rPr>
      <t xml:space="preserve"> </t>
    </r>
    <r>
      <rPr>
        <b/>
        <sz val="11"/>
        <rFont val="Calibri"/>
        <family val="2"/>
        <scheme val="minor"/>
      </rPr>
      <t>After completing Section C</t>
    </r>
    <r>
      <rPr>
        <sz val="11"/>
        <rFont val="Calibri"/>
        <family val="2"/>
        <scheme val="minor"/>
      </rPr>
      <t xml:space="preserve">, if school district proxy spending </t>
    </r>
    <r>
      <rPr>
        <b/>
        <sz val="11"/>
        <rFont val="Calibri"/>
        <family val="2"/>
        <scheme val="minor"/>
      </rPr>
      <t>has not been met (cell will indicate "No")</t>
    </r>
    <r>
      <rPr>
        <sz val="11"/>
        <rFont val="Calibri"/>
        <family val="2"/>
        <scheme val="minor"/>
      </rPr>
      <t>, please provide explanation below:</t>
    </r>
  </si>
  <si>
    <t>Description of srvices 10</t>
  </si>
  <si>
    <t>Transportation Proxy</t>
  </si>
  <si>
    <t>Total Provincial Spending</t>
  </si>
  <si>
    <t>BCTEA First Nation Student Transportation Fund 
Revenue and Spending Report Signature Page</t>
  </si>
  <si>
    <t>BCTEA 2023/24 Revenue and Spending Report</t>
  </si>
  <si>
    <t>Background As of September 29, 2023:</t>
  </si>
  <si>
    <r>
      <rPr>
        <b/>
        <sz val="11"/>
        <rFont val="Calibri"/>
        <family val="2"/>
        <scheme val="minor"/>
      </rPr>
      <t>Note:</t>
    </r>
    <r>
      <rPr>
        <sz val="11"/>
        <rFont val="Calibri"/>
        <family val="2"/>
        <scheme val="minor"/>
      </rPr>
      <t xml:space="preserve"> Boards are asked to return the </t>
    </r>
    <r>
      <rPr>
        <i/>
        <sz val="11"/>
        <rFont val="Calibri"/>
        <family val="2"/>
        <scheme val="minor"/>
      </rPr>
      <t>Final 2023-24 BCTEA Joint Transportation Reporting Template.xls</t>
    </r>
    <r>
      <rPr>
        <sz val="11"/>
        <rFont val="Calibri"/>
        <family val="2"/>
        <scheme val="minor"/>
      </rPr>
      <t xml:space="preserve"> to the Ministry i</t>
    </r>
    <r>
      <rPr>
        <b/>
        <sz val="11"/>
        <rFont val="Calibri"/>
        <family val="2"/>
        <scheme val="minor"/>
      </rPr>
      <t>n Excel format</t>
    </r>
    <r>
      <rPr>
        <sz val="11"/>
        <rFont val="Calibri"/>
        <family val="2"/>
        <scheme val="minor"/>
      </rPr>
      <t xml:space="preserve"> in addition to other formats that best supports the Board and First Nation sign-off processes e.g., Excel as well as a signed Adobe PDF. 
</t>
    </r>
  </si>
  <si>
    <t>As of 
September 29, 2023</t>
  </si>
  <si>
    <t>Reported on the same 2022/23 form for reference</t>
  </si>
  <si>
    <t>BCTEA 2023/24 Revenue
 (CDS Payment)</t>
  </si>
  <si>
    <t>BCTEA 2023/24 Funds Available</t>
  </si>
  <si>
    <r>
      <t xml:space="preserve">2023/24 Revenue (and sources) for operational costs provided </t>
    </r>
    <r>
      <rPr>
        <b/>
        <sz val="11"/>
        <rFont val="Calibri"/>
        <family val="2"/>
        <scheme val="minor"/>
      </rPr>
      <t>for   
information.</t>
    </r>
    <r>
      <rPr>
        <sz val="11"/>
        <rFont val="Calibri"/>
        <family val="2"/>
        <scheme val="minor"/>
      </rPr>
      <t xml:space="preserve">
(Table 2A operating grant manual (Dec re-calc based on Sep 1701)</t>
    </r>
  </si>
  <si>
    <t>2022/23 Actual Student Transportation spending
 (Jun 30, 2023 audited financial statement)
(all students)</t>
  </si>
  <si>
    <t xml:space="preserve">2022/23 First Nation Students living on reserve  Transportation spending 
(school district reported) to Jun 30, 2023) </t>
  </si>
  <si>
    <r>
      <t xml:space="preserve">B.  Federal: First Nation Student Rate (FNSR) Funding and the Transportation "Proxy" (For Reference):
</t>
    </r>
    <r>
      <rPr>
        <sz val="11"/>
        <rFont val="Calibri"/>
        <family val="2"/>
        <scheme val="minor"/>
      </rPr>
      <t xml:space="preserve">TRANSPORTATION PROXY: Under BCTEA, there is a portion of the First Nation Student Rate (FNSR) derived from the Student Location Factor (SLF), Supplementary Student Location Factor (SSLF) and Provincial Student Transportation Fund (STF) that is considered a “proxy” for funding First Nation Student transportation.  This amount is the minimum of the FNSR that should be applied to the transportation of First Nations Students living on reserve. This proxy amount can be supplemented by other funding from the FNSR and/or from provincial operating funding and special grants.  As per BCTEA Schedule G, this amount was meant to be removed from the FNSR and it has not been removed. </t>
    </r>
  </si>
  <si>
    <t>Transportation portion (SLF, SSLF, and STF) per student from the FNSR</t>
  </si>
  <si>
    <t>BCTEA 2023/24 Approved</t>
  </si>
  <si>
    <t xml:space="preserve">BCTEA 2023/24 Spending forecast June 30, 2024 </t>
  </si>
  <si>
    <t>E. Supplemental Funding: BCTEA First Nation Student Transportation (FNST) Fund 2022/23:</t>
  </si>
  <si>
    <t>Extracurricular Funds automatically allocated based on 2022/23 Nominal Roll</t>
  </si>
  <si>
    <t>BCTEA 2022/23  
Carryover</t>
  </si>
  <si>
    <t>2023/24 Carryover forecast June 30, 2024</t>
  </si>
  <si>
    <t>F. Total Transportation Spending: First Nation Students living on reserve attending public school</t>
  </si>
  <si>
    <r>
      <t xml:space="preserve">2023/24 Amended budget
Student Transportation to Jun 30, 2024 as of </t>
    </r>
    <r>
      <rPr>
        <b/>
        <sz val="11"/>
        <rFont val="Calibri"/>
        <family val="2"/>
        <scheme val="minor"/>
      </rPr>
      <t>Feb 29, 2024</t>
    </r>
    <r>
      <rPr>
        <sz val="11"/>
        <rFont val="Calibri"/>
        <family val="2"/>
        <scheme val="minor"/>
      </rPr>
      <t xml:space="preserve"> 
(all students)</t>
    </r>
  </si>
  <si>
    <r>
      <t xml:space="preserve">2023/24 Amended budget for </t>
    </r>
    <r>
      <rPr>
        <b/>
        <sz val="11"/>
        <rFont val="Calibri"/>
        <family val="2"/>
        <scheme val="minor"/>
      </rPr>
      <t xml:space="preserve">First Nation Students </t>
    </r>
    <r>
      <rPr>
        <sz val="11"/>
        <rFont val="Calibri"/>
        <family val="2"/>
        <scheme val="minor"/>
      </rPr>
      <t>Living on reserve Transportation to Jun 30, 2024</t>
    </r>
  </si>
  <si>
    <r>
      <t xml:space="preserve">2. </t>
    </r>
    <r>
      <rPr>
        <b/>
        <sz val="11"/>
        <rFont val="Calibri"/>
        <family val="2"/>
        <scheme val="minor"/>
      </rPr>
      <t>Total school district students required transportation</t>
    </r>
    <r>
      <rPr>
        <sz val="11"/>
        <rFont val="Calibri"/>
        <family val="2"/>
        <scheme val="minor"/>
      </rPr>
      <t xml:space="preserve">:  How many BC resident students including Students living on reserve (agreed upon via the Joint Verification Process), required transportation to public school?  </t>
    </r>
  </si>
  <si>
    <r>
      <t xml:space="preserve">3. </t>
    </r>
    <r>
      <rPr>
        <b/>
        <sz val="11"/>
        <rFont val="Calibri"/>
        <family val="2"/>
        <scheme val="minor"/>
      </rPr>
      <t>Total First Nation Students living on reserve required transportation to public school</t>
    </r>
    <r>
      <rPr>
        <sz val="11"/>
        <rFont val="Calibri"/>
        <family val="2"/>
        <scheme val="minor"/>
      </rPr>
      <t xml:space="preserve"> (agreed upon via the Joint Verification Process)?</t>
    </r>
  </si>
  <si>
    <t>Yes</t>
  </si>
  <si>
    <t>SUM of D31, D33, D34, D35, D36</t>
  </si>
  <si>
    <t>SUM of H31, H35, H36</t>
  </si>
  <si>
    <t>SUM of G43, G44, G45</t>
  </si>
  <si>
    <t>SUM of H37, G46</t>
  </si>
  <si>
    <t>2022/23 First Nation Students living on reserve  Transportation spending 
(Jun 30, 2023, school district reported)</t>
  </si>
  <si>
    <t xml:space="preserve">Number of First Nation Students (adjusted from 2022/23 Nominal Roll) </t>
  </si>
  <si>
    <t>Please select School District number.</t>
  </si>
  <si>
    <t>Select SD# Above</t>
  </si>
  <si>
    <t xml:space="preserve">Select SD# Above </t>
  </si>
  <si>
    <t>Student Transportation Fund and Student Location Factor Funding Included in the 2023/24 First Nation Student Rates</t>
  </si>
  <si>
    <t>Updated February 13, 2024</t>
  </si>
  <si>
    <t>Overall</t>
  </si>
  <si>
    <t>2023/24</t>
  </si>
  <si>
    <t>Student Rate</t>
  </si>
  <si>
    <t xml:space="preserve">  5 Southeast Kootenay</t>
  </si>
  <si>
    <t xml:space="preserve">  6 Rocky Mountain</t>
  </si>
  <si>
    <t xml:space="preserve">  8 Kootenay Lake</t>
  </si>
  <si>
    <t>10 Arrow Lakes</t>
  </si>
  <si>
    <t>19 Revelstoke</t>
  </si>
  <si>
    <t>20 Kootenay-Columbia</t>
  </si>
  <si>
    <t>22 Vernon</t>
  </si>
  <si>
    <t>23 Central Okanagan</t>
  </si>
  <si>
    <t>27 Cariboo-Chilcotin</t>
  </si>
  <si>
    <t>28 Quesnel</t>
  </si>
  <si>
    <t>33 Chilliwack</t>
  </si>
  <si>
    <t>34 Abbotsford</t>
  </si>
  <si>
    <t>35 Langley</t>
  </si>
  <si>
    <t>36 Surrey</t>
  </si>
  <si>
    <t>37 Delta</t>
  </si>
  <si>
    <t>38 Richmond</t>
  </si>
  <si>
    <t>39 Vancouver</t>
  </si>
  <si>
    <t>40 New Westminster</t>
  </si>
  <si>
    <t>41 Burnaby</t>
  </si>
  <si>
    <t>42 Maple Ridge-Pitt Meadows</t>
  </si>
  <si>
    <t>43 Coquitlam</t>
  </si>
  <si>
    <t>44 North Vancouver</t>
  </si>
  <si>
    <t>45 West Vancouver</t>
  </si>
  <si>
    <t>46 Sunshine Coast</t>
  </si>
  <si>
    <t>47 qathet</t>
  </si>
  <si>
    <t>48 Sea To Sky</t>
  </si>
  <si>
    <t>49 Central Coast</t>
  </si>
  <si>
    <t>50 Haida Gwaii</t>
  </si>
  <si>
    <t>51 Boundary</t>
  </si>
  <si>
    <t>52 Prince Rupert</t>
  </si>
  <si>
    <t>53 Okanagan Similkameen</t>
  </si>
  <si>
    <t>54 Bulkley Valley</t>
  </si>
  <si>
    <t>57 Prince George</t>
  </si>
  <si>
    <t>58 Nicola-Similkameen</t>
  </si>
  <si>
    <t>59 Peace River South</t>
  </si>
  <si>
    <t>60 Peace River North</t>
  </si>
  <si>
    <t>61 Greater Victoria</t>
  </si>
  <si>
    <t>62 Sooke</t>
  </si>
  <si>
    <t>63 Saanich</t>
  </si>
  <si>
    <t>64 Gulf Islands</t>
  </si>
  <si>
    <t>67 Okanagan Skaha</t>
  </si>
  <si>
    <t>68 Nanaimo-Ladysmith</t>
  </si>
  <si>
    <t>69 Qualicum</t>
  </si>
  <si>
    <t>70 Pacific Rim</t>
  </si>
  <si>
    <t>71 Comox Valley</t>
  </si>
  <si>
    <t>72 Campbell River</t>
  </si>
  <si>
    <t>73 Kamloops-Thompson</t>
  </si>
  <si>
    <t>74 Gold Trail</t>
  </si>
  <si>
    <t>75 Mission</t>
  </si>
  <si>
    <t>78 Fraser-Cascade</t>
  </si>
  <si>
    <t>79 Cowichan Valley</t>
  </si>
  <si>
    <t>81 Fort Nelson</t>
  </si>
  <si>
    <t>82 Coast Mountains</t>
  </si>
  <si>
    <t>83 North Okanagan-Shuswap</t>
  </si>
  <si>
    <t>84 Vancouver Island West</t>
  </si>
  <si>
    <t>85 Vancouver Island North</t>
  </si>
  <si>
    <t>87 Stikine</t>
  </si>
  <si>
    <t>91 Nechako Lakes</t>
  </si>
  <si>
    <t>92 Nisga'a</t>
  </si>
  <si>
    <t>93 Conseil Scolaire Francophone</t>
  </si>
  <si>
    <t>99 Provincial Summary</t>
  </si>
  <si>
    <t>2022-23 Reported BC Residents Attending School</t>
  </si>
  <si>
    <t>2022-23 Reported BC Residents Requiring Transportation</t>
  </si>
  <si>
    <t>2022-23 Reported Nominal Roll Students Requiring Transportation</t>
  </si>
  <si>
    <t>2022-23 Reported Total Distance Covered Daily by Buses (KM)</t>
  </si>
  <si>
    <t xml:space="preserve">2022-23 First Nation Students living on reserve  Transportation spending 
(school district reported) to June 30, 2022) </t>
  </si>
  <si>
    <t>2022-23 Actual Student Transportation spending
 (June 30, 2022 audited financial statement)
(all students)</t>
  </si>
  <si>
    <t>2022-23 BCTEA To/from Carryover</t>
  </si>
  <si>
    <t>2022-23 BCTEA EX Carryover</t>
  </si>
  <si>
    <t>2022-23 BCTEA Shelter Carryover</t>
  </si>
  <si>
    <t>2023-24 BCTEA Approved</t>
  </si>
  <si>
    <t>2023-24 EX Allocation</t>
  </si>
  <si>
    <t>2023-24 CDS Payment</t>
  </si>
  <si>
    <t>2023-24 Revenue (and sources) for all operational costs  
For information
(Table 2A operating grant manual (Dec re-calc based on Sept 1701)</t>
  </si>
  <si>
    <t>Student Count as per 2022-23 Nominal Roll</t>
  </si>
  <si>
    <t>not known</t>
  </si>
  <si>
    <t>2023/24 Amended budget
Student Transportation to Jun 30, 2024 as of Feb 29, 2024 
(all students)</t>
  </si>
  <si>
    <t>Sample School District</t>
  </si>
  <si>
    <t>Total EX Funds Available</t>
  </si>
  <si>
    <t>EX CARRYOVER PRIOR TO ADJUSTMENT</t>
  </si>
  <si>
    <t>EX Repurposed</t>
  </si>
  <si>
    <t>CDS Payment Extracurricular</t>
  </si>
  <si>
    <t>EX REPURPOSED FOR EX</t>
  </si>
  <si>
    <t>ex Repurposed to TO/FROM</t>
  </si>
  <si>
    <t>(A) 
School proposed extracurricular Type (i.e. Cultural, Basketball, Homework club, etc.)</t>
  </si>
  <si>
    <r>
      <t xml:space="preserve">3. </t>
    </r>
    <r>
      <rPr>
        <b/>
        <sz val="11"/>
        <rFont val="Calibri"/>
        <family val="2"/>
        <scheme val="minor"/>
      </rPr>
      <t>Total number of Students living on reserve attending public schools that required transporation</t>
    </r>
    <r>
      <rPr>
        <sz val="11"/>
        <rFont val="Calibri"/>
        <family val="2"/>
        <scheme val="minor"/>
      </rPr>
      <t xml:space="preserve"> (agreed upon via the Joint Verification Process)</t>
    </r>
  </si>
  <si>
    <t>Approximate Total Transportation Proxy</t>
  </si>
  <si>
    <r>
      <rPr>
        <b/>
        <u/>
        <sz val="11"/>
        <rFont val="Calibri"/>
        <family val="2"/>
        <scheme val="minor"/>
      </rPr>
      <t>Purpose:</t>
    </r>
    <r>
      <rPr>
        <b/>
        <sz val="11"/>
        <rFont val="Calibri"/>
        <family val="2"/>
        <scheme val="minor"/>
      </rPr>
      <t xml:space="preserve">  </t>
    </r>
    <r>
      <rPr>
        <sz val="11"/>
        <rFont val="Calibri"/>
        <family val="2"/>
        <scheme val="minor"/>
      </rPr>
      <t xml:space="preserve">The 2023/24 school year was the fifth year of BCTEA Joint Transportation Plan development and implementation. This report template is being used to:
Understand Board spending including the transportation "proxy", and the total cost of transportation for First Nation Students living on reserve attending BC Public School. </t>
    </r>
  </si>
  <si>
    <r>
      <rPr>
        <b/>
        <u/>
        <sz val="11"/>
        <rFont val="Calibri"/>
        <family val="2"/>
        <scheme val="minor"/>
      </rPr>
      <t>Purpose:</t>
    </r>
    <r>
      <rPr>
        <b/>
        <sz val="11"/>
        <rFont val="Calibri"/>
        <family val="2"/>
        <scheme val="minor"/>
      </rPr>
      <t xml:space="preserve">  </t>
    </r>
    <r>
      <rPr>
        <sz val="11"/>
        <rFont val="Calibri"/>
        <family val="2"/>
        <scheme val="minor"/>
      </rPr>
      <t xml:space="preserve">The 2023/24 school year was the fifth year of BCTEA Joint Transportation Plan development and implementation. This report template is being used to:
Understand Board spending including the transportation "proxy", and the total cost of transportation for First Nation Students living on reserve attending BC Public School.
</t>
    </r>
  </si>
  <si>
    <t>2023/24 Extracurricular Reporting Template</t>
  </si>
  <si>
    <t xml:space="preserve">2023/24 Extracurricular Example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</si>
</sst>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 #,##0_);_(* \(#,##0\);_(* &quot;-&quot;??_);_(@_)"/>
    <numFmt numFmtId="165" formatCode="_(* #,##0_);_(* \(#,##0\);_(* &quot;-&quot;_);_(@_)"/>
    <numFmt numFmtId="166" formatCode="&quot;$&quot;* #,##0\ \ ;[Red]&quot;$&quot;* \(#,##0\)_ ;&quot;$&quot;\ * &quot;-&quot;_?"/>
    <numFmt numFmtId="167" formatCode="\ * #,##0\ \ ;[Red]\-* \ #,##0\ _ ;\ \ * &quot;-&quot;_?"/>
    <numFmt numFmtId="168" formatCode="_-* #,##0_-;\-* #,##0_-;_-* &quot;-&quot;??_-;_-@_-"/>
    <numFmt numFmtId="169" formatCode="&quot;$&quot;#,##0"/>
    <numFmt numFmtId="170" formatCode="[$-1009]d/mmm/yy;@"/>
    <numFmt numFmtId="171" formatCode="#,##0;[Red]#,##0"/>
    <numFmt numFmtId="172" formatCode="&quot;$&quot;#,##0.00;[Red]&quot;$&quot;#,##0.00"/>
    <numFmt numFmtId="173" formatCode="0.0%"/>
    <numFmt numFmtId="174" formatCode="#,##0.0000"/>
    <numFmt numFmtId="175" formatCode="_(* #,##0_);[Red]_(* \(#,##0\);_(* &quot;-&quot;_);_(@_)"/>
    <numFmt numFmtId="176" formatCode="#,##0.00_ ;\-#,##0.00\ "/>
    <numFmt numFmtId="177" formatCode="&quot;$&quot;#,##0.00"/>
    <numFmt numFmtId="178" formatCode="_(&quot;$&quot;* #,##0_);[Red]_(&quot;$&quot;* \(#,##0\);_(&quot;$&quot;* &quot;-&quot;_);_(@_)"/>
    <numFmt numFmtId="179" formatCode="_-&quot;$&quot;* #,##0_-;\-&quot;$&quot;* #,##0_-;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2"/>
      <name val="Arial"/>
      <family val="2"/>
    </font>
    <font>
      <sz val="12"/>
      <color theme="1"/>
      <name val="Calibri"/>
      <family val="2"/>
      <scheme val="minor"/>
    </font>
    <font>
      <sz val="9"/>
      <color theme="1"/>
      <name val="Calibri"/>
      <family val="2"/>
      <scheme val="minor"/>
    </font>
    <font>
      <b/>
      <sz val="18"/>
      <name val="Calibri"/>
      <family val="2"/>
      <scheme val="minor"/>
    </font>
    <font>
      <b/>
      <u/>
      <sz val="11"/>
      <name val="Calibri"/>
      <family val="2"/>
      <scheme val="minor"/>
    </font>
    <font>
      <sz val="8"/>
      <name val="Calibri"/>
      <family val="2"/>
      <scheme val="minor"/>
    </font>
    <font>
      <u/>
      <sz val="11"/>
      <color theme="10"/>
      <name val="Calibri"/>
      <family val="2"/>
      <scheme val="minor"/>
    </font>
    <font>
      <b/>
      <sz val="11"/>
      <color rgb="FFFF0000"/>
      <name val="Calibri"/>
      <family val="2"/>
      <scheme val="minor"/>
    </font>
    <font>
      <sz val="10"/>
      <color theme="1"/>
      <name val="Calibri"/>
      <family val="2"/>
      <scheme val="minor"/>
    </font>
    <font>
      <sz val="9"/>
      <color indexed="81"/>
      <name val="Tahoma"/>
      <family val="2"/>
    </font>
    <font>
      <b/>
      <sz val="9"/>
      <color indexed="81"/>
      <name val="Tahoma"/>
      <family val="2"/>
    </font>
    <font>
      <sz val="10"/>
      <name val="Calibri"/>
      <family val="2"/>
      <scheme val="minor"/>
    </font>
    <font>
      <sz val="9"/>
      <name val="Calibri"/>
      <family val="2"/>
      <scheme val="minor"/>
    </font>
    <font>
      <b/>
      <sz val="11"/>
      <color theme="5"/>
      <name val="Calibri"/>
      <family val="2"/>
      <scheme val="minor"/>
    </font>
    <font>
      <b/>
      <sz val="18"/>
      <color theme="4" tint="-0.499984740745262"/>
      <name val="Calibri"/>
      <family val="2"/>
      <scheme val="minor"/>
    </font>
    <font>
      <sz val="18"/>
      <color theme="1"/>
      <name val="Calibri"/>
      <family val="2"/>
      <scheme val="minor"/>
    </font>
    <font>
      <sz val="9"/>
      <color theme="1"/>
      <name val="Segoe UI"/>
      <family val="2"/>
    </font>
    <font>
      <i/>
      <sz val="11"/>
      <name val="Calibri"/>
      <family val="2"/>
      <scheme val="minor"/>
    </font>
    <font>
      <sz val="10.5"/>
      <name val="Calibri"/>
      <family val="2"/>
      <scheme val="minor"/>
    </font>
    <font>
      <b/>
      <sz val="11"/>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rgb="FF0033CC"/>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top/>
      <bottom style="dotted">
        <color theme="4" tint="-0.24994659260841701"/>
      </bottom>
      <diagonal/>
    </border>
    <border>
      <left/>
      <right/>
      <top style="dotted">
        <color theme="4" tint="-0.24994659260841701"/>
      </top>
      <bottom style="dotted">
        <color theme="4" tint="-0.2499465926084170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4" tint="-0.499984740745262"/>
      </top>
      <bottom style="thin">
        <color theme="4" tint="-0.499984740745262"/>
      </bottom>
      <diagonal/>
    </border>
    <border>
      <left style="thin">
        <color theme="4" tint="-0.499984740745262"/>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theme="4" tint="-0.499984740745262"/>
      </bottom>
      <diagonal/>
    </border>
    <border>
      <left/>
      <right/>
      <top style="thin">
        <color indexed="64"/>
      </top>
      <bottom style="thin">
        <color theme="4" tint="-0.499984740745262"/>
      </bottom>
      <diagonal/>
    </border>
    <border>
      <left/>
      <right style="thin">
        <color indexed="64"/>
      </right>
      <top style="thin">
        <color indexed="64"/>
      </top>
      <bottom style="thin">
        <color theme="4" tint="-0.499984740745262"/>
      </bottom>
      <diagonal/>
    </border>
    <border>
      <left/>
      <right style="thin">
        <color indexed="64"/>
      </right>
      <top style="thin">
        <color theme="4" tint="-0.499984740745262"/>
      </top>
      <bottom style="thin">
        <color theme="4" tint="-0.499984740745262"/>
      </bottom>
      <diagonal/>
    </border>
    <border>
      <left style="thin">
        <color theme="4" tint="-0.499984740745262"/>
      </left>
      <right style="thin">
        <color indexed="64"/>
      </right>
      <top style="thin">
        <color theme="4" tint="-0.499984740745262"/>
      </top>
      <bottom style="thin">
        <color theme="4" tint="-0.499984740745262"/>
      </bottom>
      <diagonal/>
    </border>
    <border>
      <left/>
      <right style="thin">
        <color theme="4" tint="-0.499984740745262"/>
      </right>
      <top/>
      <bottom/>
      <diagonal/>
    </border>
    <border>
      <left/>
      <right/>
      <top style="thin">
        <color indexed="64"/>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hair">
        <color indexed="64"/>
      </bottom>
      <diagonal/>
    </border>
    <border>
      <left/>
      <right/>
      <top style="thin">
        <color theme="4" tint="-0.499984740745262"/>
      </top>
      <bottom style="thin">
        <color indexed="64"/>
      </bottom>
      <diagonal/>
    </border>
    <border>
      <left/>
      <right style="thin">
        <color indexed="64"/>
      </right>
      <top style="thin">
        <color theme="4" tint="-0.499984740745262"/>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8" fillId="0" borderId="0"/>
    <xf numFmtId="44" fontId="8"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44">
    <xf numFmtId="0" fontId="0" fillId="0" borderId="0" xfId="0"/>
    <xf numFmtId="37" fontId="5" fillId="2" borderId="0" xfId="2" applyNumberFormat="1" applyFont="1" applyFill="1" applyProtection="1">
      <protection hidden="1"/>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vertical="center" indent="5"/>
    </xf>
    <xf numFmtId="0" fontId="0" fillId="0" borderId="0" xfId="0" applyAlignment="1">
      <alignment wrapText="1"/>
    </xf>
    <xf numFmtId="169" fontId="0" fillId="0" borderId="0" xfId="0" applyNumberFormat="1"/>
    <xf numFmtId="37" fontId="6" fillId="4" borderId="13" xfId="4" applyNumberFormat="1" applyFont="1" applyFill="1" applyBorder="1" applyAlignment="1" applyProtection="1">
      <alignment vertical="top" wrapText="1"/>
      <protection hidden="1"/>
    </xf>
    <xf numFmtId="37" fontId="6" fillId="4" borderId="11" xfId="4" applyNumberFormat="1" applyFont="1" applyFill="1" applyBorder="1" applyAlignment="1" applyProtection="1">
      <alignment vertical="top" wrapText="1"/>
      <protection hidden="1"/>
    </xf>
    <xf numFmtId="170" fontId="5" fillId="4" borderId="11" xfId="2" applyNumberFormat="1" applyFont="1" applyFill="1" applyBorder="1" applyAlignment="1" applyProtection="1">
      <alignment wrapText="1"/>
      <protection hidden="1"/>
    </xf>
    <xf numFmtId="166" fontId="5" fillId="2" borderId="1" xfId="3" applyNumberFormat="1" applyFont="1" applyFill="1" applyBorder="1" applyAlignment="1" applyProtection="1">
      <alignment horizontal="right"/>
    </xf>
    <xf numFmtId="166" fontId="5" fillId="2" borderId="10" xfId="3" applyNumberFormat="1" applyFont="1" applyFill="1" applyBorder="1" applyAlignment="1" applyProtection="1">
      <alignment horizontal="right"/>
    </xf>
    <xf numFmtId="165" fontId="5" fillId="0" borderId="0" xfId="3" applyNumberFormat="1" applyFont="1" applyFill="1" applyBorder="1" applyAlignment="1" applyProtection="1">
      <alignment horizontal="right"/>
    </xf>
    <xf numFmtId="0" fontId="8" fillId="0" borderId="0" xfId="5"/>
    <xf numFmtId="37" fontId="5" fillId="5" borderId="0" xfId="2" applyNumberFormat="1" applyFont="1" applyFill="1"/>
    <xf numFmtId="37" fontId="5" fillId="0" borderId="0" xfId="2" applyNumberFormat="1" applyFont="1"/>
    <xf numFmtId="37" fontId="5" fillId="2" borderId="0" xfId="2" applyNumberFormat="1" applyFont="1" applyFill="1" applyAlignment="1">
      <alignment horizontal="center"/>
    </xf>
    <xf numFmtId="37" fontId="5" fillId="2" borderId="0" xfId="2" applyNumberFormat="1" applyFont="1" applyFill="1"/>
    <xf numFmtId="37" fontId="6" fillId="2" borderId="0" xfId="4" applyNumberFormat="1" applyFont="1" applyFill="1" applyAlignment="1">
      <alignment vertical="top"/>
    </xf>
    <xf numFmtId="37" fontId="5" fillId="2" borderId="0" xfId="2" applyNumberFormat="1" applyFont="1" applyFill="1" applyAlignment="1">
      <alignment horizontal="left" indent="1"/>
    </xf>
    <xf numFmtId="37" fontId="5" fillId="3" borderId="3" xfId="2" applyNumberFormat="1" applyFont="1" applyFill="1" applyBorder="1" applyAlignment="1">
      <alignment horizontal="left" indent="1"/>
    </xf>
    <xf numFmtId="37" fontId="5" fillId="3" borderId="3" xfId="2" applyNumberFormat="1" applyFont="1" applyFill="1" applyBorder="1"/>
    <xf numFmtId="37" fontId="5" fillId="3" borderId="20" xfId="2" applyNumberFormat="1" applyFont="1" applyFill="1" applyBorder="1"/>
    <xf numFmtId="37" fontId="5" fillId="2" borderId="0" xfId="2" applyNumberFormat="1" applyFont="1" applyFill="1" applyAlignment="1">
      <alignment vertical="center" wrapText="1"/>
    </xf>
    <xf numFmtId="37" fontId="5" fillId="0" borderId="0" xfId="2" applyNumberFormat="1" applyFont="1" applyAlignment="1">
      <alignment wrapText="1"/>
    </xf>
    <xf numFmtId="37" fontId="6" fillId="2" borderId="0" xfId="4" applyNumberFormat="1" applyFont="1" applyFill="1" applyAlignment="1">
      <alignment horizontal="left" vertical="top"/>
    </xf>
    <xf numFmtId="37" fontId="6" fillId="2" borderId="0" xfId="4" applyNumberFormat="1" applyFont="1" applyFill="1" applyAlignment="1">
      <alignment horizontal="left" vertical="top" wrapText="1"/>
    </xf>
    <xf numFmtId="37" fontId="5" fillId="4" borderId="3" xfId="2" applyNumberFormat="1" applyFont="1" applyFill="1" applyBorder="1" applyAlignment="1">
      <alignment horizontal="center" vertical="top" wrapText="1"/>
    </xf>
    <xf numFmtId="37" fontId="5" fillId="4" borderId="6" xfId="2" applyNumberFormat="1" applyFont="1" applyFill="1" applyBorder="1" applyAlignment="1">
      <alignment horizontal="center" vertical="top" wrapText="1"/>
    </xf>
    <xf numFmtId="37" fontId="5" fillId="4" borderId="11" xfId="2" applyNumberFormat="1" applyFont="1" applyFill="1" applyBorder="1" applyAlignment="1">
      <alignment horizontal="center" vertical="top" wrapText="1"/>
    </xf>
    <xf numFmtId="0" fontId="1" fillId="0" borderId="0" xfId="0" applyFont="1" applyAlignment="1">
      <alignment wrapText="1"/>
    </xf>
    <xf numFmtId="37" fontId="6" fillId="2" borderId="0" xfId="4" applyNumberFormat="1" applyFont="1" applyFill="1"/>
    <xf numFmtId="0" fontId="3" fillId="2" borderId="0" xfId="0" applyFont="1" applyFill="1" applyAlignment="1">
      <alignment horizontal="left" vertical="top" wrapText="1"/>
    </xf>
    <xf numFmtId="37" fontId="5" fillId="2" borderId="0" xfId="3" applyNumberFormat="1" applyFont="1" applyFill="1" applyProtection="1"/>
    <xf numFmtId="0" fontId="1" fillId="2" borderId="0" xfId="0" applyFont="1" applyFill="1" applyAlignment="1">
      <alignment wrapText="1"/>
    </xf>
    <xf numFmtId="0" fontId="9" fillId="2" borderId="0" xfId="0" applyFont="1" applyFill="1" applyAlignment="1">
      <alignment wrapText="1"/>
    </xf>
    <xf numFmtId="37" fontId="5" fillId="2" borderId="10" xfId="3" applyNumberFormat="1" applyFont="1" applyFill="1" applyBorder="1" applyProtection="1"/>
    <xf numFmtId="0" fontId="0" fillId="2" borderId="1" xfId="0" applyFill="1" applyBorder="1" applyAlignment="1">
      <alignment horizontal="left" wrapText="1" indent="2"/>
    </xf>
    <xf numFmtId="166" fontId="5" fillId="2" borderId="1" xfId="2" applyNumberFormat="1" applyFont="1" applyFill="1" applyBorder="1"/>
    <xf numFmtId="37" fontId="6" fillId="2" borderId="1" xfId="2" applyNumberFormat="1" applyFont="1" applyFill="1" applyBorder="1" applyAlignment="1">
      <alignment wrapText="1"/>
    </xf>
    <xf numFmtId="37" fontId="5" fillId="2" borderId="1" xfId="2" applyNumberFormat="1" applyFont="1" applyFill="1" applyBorder="1"/>
    <xf numFmtId="166" fontId="6" fillId="2" borderId="8" xfId="2" applyNumberFormat="1" applyFont="1" applyFill="1" applyBorder="1"/>
    <xf numFmtId="0" fontId="1" fillId="2" borderId="1" xfId="0" applyFont="1" applyFill="1" applyBorder="1" applyAlignment="1">
      <alignment wrapText="1"/>
    </xf>
    <xf numFmtId="37" fontId="2" fillId="0" borderId="0" xfId="2" applyNumberFormat="1" applyFont="1"/>
    <xf numFmtId="166" fontId="6" fillId="4" borderId="0" xfId="2" applyNumberFormat="1" applyFont="1" applyFill="1"/>
    <xf numFmtId="37" fontId="6" fillId="4" borderId="0" xfId="4" applyNumberFormat="1" applyFont="1" applyFill="1"/>
    <xf numFmtId="0" fontId="2" fillId="4" borderId="0" xfId="0" applyFont="1" applyFill="1" applyAlignment="1">
      <alignment horizontal="left" vertical="top" wrapText="1" indent="6"/>
    </xf>
    <xf numFmtId="0" fontId="1" fillId="4" borderId="0" xfId="0" applyFont="1" applyFill="1" applyAlignment="1">
      <alignment wrapText="1"/>
    </xf>
    <xf numFmtId="166" fontId="5" fillId="4" borderId="0" xfId="2" applyNumberFormat="1" applyFont="1" applyFill="1" applyAlignment="1">
      <alignment horizontal="center"/>
    </xf>
    <xf numFmtId="166" fontId="5" fillId="4" borderId="0" xfId="2" applyNumberFormat="1" applyFont="1" applyFill="1"/>
    <xf numFmtId="0" fontId="8" fillId="0" borderId="0" xfId="0" applyFont="1" applyAlignment="1">
      <alignment horizontal="left" vertical="top" wrapText="1"/>
    </xf>
    <xf numFmtId="166" fontId="0" fillId="2" borderId="0" xfId="0" applyNumberFormat="1" applyFill="1" applyAlignment="1">
      <alignment horizontal="center" vertical="top" wrapText="1"/>
    </xf>
    <xf numFmtId="0" fontId="0" fillId="2" borderId="1" xfId="0" applyFill="1" applyBorder="1" applyAlignment="1">
      <alignment horizontal="left" wrapText="1" indent="6"/>
    </xf>
    <xf numFmtId="166" fontId="6" fillId="2" borderId="8" xfId="2" applyNumberFormat="1" applyFont="1" applyFill="1" applyBorder="1" applyAlignment="1">
      <alignment wrapText="1"/>
    </xf>
    <xf numFmtId="37" fontId="6" fillId="2" borderId="0" xfId="2" applyNumberFormat="1" applyFont="1" applyFill="1"/>
    <xf numFmtId="37" fontId="6" fillId="2" borderId="0" xfId="2" applyNumberFormat="1" applyFont="1" applyFill="1" applyAlignment="1">
      <alignment wrapText="1"/>
    </xf>
    <xf numFmtId="166" fontId="5" fillId="2" borderId="0" xfId="2" applyNumberFormat="1" applyFont="1" applyFill="1"/>
    <xf numFmtId="166" fontId="6" fillId="2" borderId="0" xfId="2" quotePrefix="1" applyNumberFormat="1" applyFont="1" applyFill="1"/>
    <xf numFmtId="37" fontId="5" fillId="0" borderId="0" xfId="3" applyNumberFormat="1" applyFont="1" applyProtection="1"/>
    <xf numFmtId="164" fontId="5" fillId="0" borderId="0" xfId="1" applyNumberFormat="1" applyFont="1" applyFill="1" applyAlignment="1" applyProtection="1">
      <alignment horizontal="center"/>
    </xf>
    <xf numFmtId="168" fontId="5" fillId="3" borderId="6" xfId="1" applyNumberFormat="1" applyFont="1" applyFill="1" applyBorder="1" applyAlignment="1" applyProtection="1">
      <alignment horizontal="center" vertical="center"/>
      <protection locked="0"/>
    </xf>
    <xf numFmtId="166" fontId="5" fillId="2" borderId="8" xfId="2" applyNumberFormat="1" applyFont="1" applyFill="1" applyBorder="1" applyAlignment="1">
      <alignment wrapText="1"/>
    </xf>
    <xf numFmtId="171" fontId="1" fillId="2" borderId="1" xfId="2" applyNumberFormat="1" applyFont="1" applyFill="1" applyBorder="1" applyAlignment="1">
      <alignment wrapText="1"/>
    </xf>
    <xf numFmtId="166" fontId="5" fillId="2" borderId="1" xfId="2" applyNumberFormat="1" applyFont="1" applyFill="1" applyBorder="1" applyAlignment="1">
      <alignment wrapText="1"/>
    </xf>
    <xf numFmtId="37" fontId="18" fillId="0" borderId="0" xfId="2" applyNumberFormat="1" applyFont="1" applyAlignment="1">
      <alignment horizontal="left" vertical="top" wrapText="1"/>
    </xf>
    <xf numFmtId="0" fontId="0" fillId="2" borderId="11" xfId="0" applyFill="1" applyBorder="1" applyAlignment="1" applyProtection="1">
      <alignment horizontal="center" vertical="top" wrapText="1"/>
      <protection hidden="1"/>
    </xf>
    <xf numFmtId="37" fontId="6" fillId="4" borderId="6" xfId="2" applyNumberFormat="1" applyFont="1" applyFill="1" applyBorder="1" applyAlignment="1" applyProtection="1">
      <alignment horizontal="center" vertical="center" wrapText="1"/>
      <protection hidden="1"/>
    </xf>
    <xf numFmtId="176" fontId="6" fillId="4" borderId="11" xfId="4" applyNumberFormat="1" applyFont="1" applyFill="1" applyBorder="1" applyAlignment="1" applyProtection="1">
      <alignment vertical="top" wrapText="1"/>
      <protection hidden="1"/>
    </xf>
    <xf numFmtId="0" fontId="13" fillId="2" borderId="10" xfId="7" applyFill="1" applyBorder="1" applyAlignment="1" applyProtection="1">
      <alignment wrapText="1"/>
    </xf>
    <xf numFmtId="37" fontId="5" fillId="0" borderId="0" xfId="2" applyNumberFormat="1" applyFont="1" applyAlignment="1">
      <alignment horizontal="left" vertical="top" wrapText="1"/>
    </xf>
    <xf numFmtId="37" fontId="5" fillId="2" borderId="10" xfId="3" applyNumberFormat="1" applyFont="1" applyFill="1" applyBorder="1" applyAlignment="1" applyProtection="1"/>
    <xf numFmtId="166" fontId="6" fillId="2" borderId="0" xfId="2" applyNumberFormat="1" applyFont="1" applyFill="1" applyAlignment="1">
      <alignment wrapText="1"/>
    </xf>
    <xf numFmtId="0" fontId="0" fillId="2" borderId="0" xfId="0" applyFill="1" applyAlignment="1">
      <alignment horizontal="left" wrapText="1" indent="6"/>
    </xf>
    <xf numFmtId="37" fontId="6" fillId="4" borderId="0" xfId="4" applyNumberFormat="1" applyFont="1" applyFill="1" applyAlignment="1">
      <alignment vertical="top"/>
    </xf>
    <xf numFmtId="37" fontId="5" fillId="2" borderId="0" xfId="4" applyNumberFormat="1" applyFont="1" applyFill="1" applyAlignment="1">
      <alignment horizontal="left" vertical="top" wrapText="1"/>
    </xf>
    <xf numFmtId="0" fontId="1" fillId="2" borderId="1" xfId="0" applyFont="1" applyFill="1" applyBorder="1" applyAlignment="1">
      <alignment horizontal="left" wrapText="1" indent="2"/>
    </xf>
    <xf numFmtId="166" fontId="5" fillId="2" borderId="1" xfId="2" applyNumberFormat="1" applyFont="1" applyFill="1" applyBorder="1" applyAlignment="1">
      <alignment horizontal="center" wrapText="1"/>
    </xf>
    <xf numFmtId="37" fontId="5" fillId="2" borderId="21" xfId="4" applyNumberFormat="1" applyFont="1" applyFill="1" applyBorder="1" applyAlignment="1">
      <alignment horizontal="left" vertical="top" wrapText="1"/>
    </xf>
    <xf numFmtId="0" fontId="0" fillId="0" borderId="31" xfId="0" applyBorder="1" applyAlignment="1">
      <alignment horizontal="left" vertical="center" indent="5"/>
    </xf>
    <xf numFmtId="37" fontId="5" fillId="2" borderId="11" xfId="2" applyNumberFormat="1" applyFont="1" applyFill="1" applyBorder="1" applyAlignment="1">
      <alignment horizontal="left" vertical="center" wrapText="1"/>
    </xf>
    <xf numFmtId="9" fontId="19" fillId="2" borderId="11" xfId="8" applyFont="1" applyFill="1" applyBorder="1" applyAlignment="1" applyProtection="1">
      <alignment horizontal="center" vertical="center" wrapText="1"/>
    </xf>
    <xf numFmtId="166" fontId="6" fillId="2" borderId="1" xfId="2" applyNumberFormat="1" applyFont="1" applyFill="1" applyBorder="1" applyAlignment="1">
      <alignment horizontal="center" wrapText="1"/>
    </xf>
    <xf numFmtId="37" fontId="19" fillId="2" borderId="11" xfId="2" applyNumberFormat="1" applyFont="1" applyFill="1" applyBorder="1" applyAlignment="1">
      <alignment horizontal="center" vertical="center" wrapText="1"/>
    </xf>
    <xf numFmtId="37" fontId="5" fillId="0" borderId="0" xfId="3" applyNumberFormat="1" applyFont="1" applyBorder="1" applyProtection="1"/>
    <xf numFmtId="37" fontId="5" fillId="2" borderId="0" xfId="2" applyNumberFormat="1" applyFont="1" applyFill="1" applyAlignment="1">
      <alignment horizontal="center" vertical="center"/>
    </xf>
    <xf numFmtId="166" fontId="6" fillId="2" borderId="0" xfId="2" applyNumberFormat="1" applyFont="1" applyFill="1"/>
    <xf numFmtId="0" fontId="0" fillId="0" borderId="0" xfId="0" applyAlignment="1">
      <alignment vertical="top" wrapText="1"/>
    </xf>
    <xf numFmtId="37" fontId="5" fillId="2" borderId="11" xfId="2" applyNumberFormat="1" applyFont="1" applyFill="1" applyBorder="1" applyAlignment="1">
      <alignment horizontal="center" vertical="center" wrapText="1"/>
    </xf>
    <xf numFmtId="9" fontId="5" fillId="2" borderId="11" xfId="8" applyFont="1" applyFill="1" applyBorder="1" applyAlignment="1" applyProtection="1">
      <alignment horizontal="center" vertical="center" wrapText="1"/>
    </xf>
    <xf numFmtId="37" fontId="5" fillId="3" borderId="35" xfId="2" applyNumberFormat="1" applyFont="1" applyFill="1" applyBorder="1" applyAlignment="1">
      <alignment horizontal="left" vertical="top" wrapText="1"/>
    </xf>
    <xf numFmtId="37" fontId="5" fillId="3" borderId="36" xfId="2" applyNumberFormat="1" applyFont="1" applyFill="1" applyBorder="1" applyAlignment="1">
      <alignment horizontal="left" vertical="top" wrapText="1"/>
    </xf>
    <xf numFmtId="0" fontId="0" fillId="3" borderId="34" xfId="0" applyFill="1" applyBorder="1"/>
    <xf numFmtId="0" fontId="0" fillId="0" borderId="0" xfId="0" applyAlignment="1">
      <alignment horizontal="left"/>
    </xf>
    <xf numFmtId="37" fontId="6" fillId="2" borderId="0" xfId="4" applyNumberFormat="1" applyFont="1" applyFill="1" applyAlignment="1">
      <alignment horizontal="center" wrapText="1"/>
    </xf>
    <xf numFmtId="0" fontId="8" fillId="0" borderId="38" xfId="5" applyBorder="1" applyAlignment="1">
      <alignment vertical="top" wrapText="1"/>
    </xf>
    <xf numFmtId="0" fontId="8" fillId="0" borderId="34" xfId="5" applyBorder="1" applyAlignment="1">
      <alignment vertical="top"/>
    </xf>
    <xf numFmtId="0" fontId="0" fillId="0" borderId="34" xfId="0" applyBorder="1" applyAlignment="1">
      <alignment vertical="top"/>
    </xf>
    <xf numFmtId="0" fontId="23" fillId="0" borderId="0" xfId="0" applyFont="1" applyAlignment="1">
      <alignment vertical="center"/>
    </xf>
    <xf numFmtId="167" fontId="5" fillId="3" borderId="23" xfId="2" applyNumberFormat="1" applyFont="1" applyFill="1" applyBorder="1" applyAlignment="1" applyProtection="1">
      <alignment horizontal="center" vertical="center"/>
      <protection locked="0"/>
    </xf>
    <xf numFmtId="167" fontId="5" fillId="3" borderId="11" xfId="2" applyNumberFormat="1" applyFont="1" applyFill="1" applyBorder="1" applyAlignment="1" applyProtection="1">
      <alignment horizontal="center" vertical="center"/>
      <protection locked="0"/>
    </xf>
    <xf numFmtId="166" fontId="5" fillId="3" borderId="3" xfId="2" applyNumberFormat="1" applyFont="1" applyFill="1" applyBorder="1" applyAlignment="1" applyProtection="1">
      <alignment horizontal="center"/>
      <protection locked="0"/>
    </xf>
    <xf numFmtId="170" fontId="5" fillId="4" borderId="11" xfId="2" applyNumberFormat="1" applyFont="1" applyFill="1" applyBorder="1" applyAlignment="1">
      <alignment wrapText="1"/>
    </xf>
    <xf numFmtId="37" fontId="6" fillId="4" borderId="6" xfId="2" applyNumberFormat="1" applyFont="1" applyFill="1" applyBorder="1" applyAlignment="1">
      <alignment horizontal="center" vertical="center" wrapText="1"/>
    </xf>
    <xf numFmtId="0" fontId="0" fillId="2" borderId="11" xfId="0" applyFill="1" applyBorder="1" applyAlignment="1">
      <alignment horizontal="center" vertical="top" wrapText="1"/>
    </xf>
    <xf numFmtId="166" fontId="5" fillId="3" borderId="11" xfId="2" applyNumberFormat="1" applyFont="1" applyFill="1" applyBorder="1"/>
    <xf numFmtId="171" fontId="5" fillId="3" borderId="11" xfId="2" applyNumberFormat="1" applyFont="1" applyFill="1" applyBorder="1"/>
    <xf numFmtId="0" fontId="5" fillId="3" borderId="11" xfId="2" applyFont="1" applyFill="1" applyBorder="1"/>
    <xf numFmtId="172" fontId="5" fillId="3" borderId="11" xfId="2" applyNumberFormat="1" applyFont="1" applyFill="1" applyBorder="1"/>
    <xf numFmtId="0" fontId="5" fillId="3" borderId="11" xfId="2" applyFont="1" applyFill="1" applyBorder="1" applyAlignment="1">
      <alignment horizontal="left" wrapText="1"/>
    </xf>
    <xf numFmtId="2" fontId="5" fillId="3" borderId="11" xfId="2" applyNumberFormat="1" applyFont="1" applyFill="1" applyBorder="1"/>
    <xf numFmtId="37" fontId="6" fillId="4" borderId="13" xfId="4" applyNumberFormat="1" applyFont="1" applyFill="1" applyBorder="1" applyAlignment="1">
      <alignment vertical="top" wrapText="1"/>
    </xf>
    <xf numFmtId="37" fontId="6" fillId="4" borderId="11" xfId="4" applyNumberFormat="1" applyFont="1" applyFill="1" applyBorder="1" applyAlignment="1">
      <alignment vertical="top" wrapText="1"/>
    </xf>
    <xf numFmtId="176" fontId="6" fillId="4" borderId="11" xfId="4" applyNumberFormat="1" applyFont="1" applyFill="1" applyBorder="1" applyAlignment="1">
      <alignment vertical="top" wrapText="1"/>
    </xf>
    <xf numFmtId="166" fontId="5" fillId="3" borderId="8" xfId="2" applyNumberFormat="1" applyFont="1" applyFill="1" applyBorder="1" applyAlignment="1" applyProtection="1">
      <alignment horizontal="center"/>
      <protection locked="0"/>
    </xf>
    <xf numFmtId="0" fontId="5" fillId="3" borderId="11" xfId="2" applyFont="1" applyFill="1" applyBorder="1" applyProtection="1">
      <protection locked="0"/>
    </xf>
    <xf numFmtId="171" fontId="5" fillId="3" borderId="11" xfId="2" applyNumberFormat="1" applyFont="1" applyFill="1" applyBorder="1" applyProtection="1">
      <protection locked="0"/>
    </xf>
    <xf numFmtId="2" fontId="5" fillId="3" borderId="11" xfId="2" applyNumberFormat="1" applyFont="1" applyFill="1" applyBorder="1" applyProtection="1">
      <protection locked="0"/>
    </xf>
    <xf numFmtId="172" fontId="5" fillId="3" borderId="11" xfId="2" applyNumberFormat="1" applyFont="1" applyFill="1" applyBorder="1" applyProtection="1">
      <protection locked="0"/>
    </xf>
    <xf numFmtId="166" fontId="5" fillId="3" borderId="11" xfId="2" applyNumberFormat="1" applyFont="1" applyFill="1" applyBorder="1" applyProtection="1">
      <protection locked="0"/>
    </xf>
    <xf numFmtId="0" fontId="13" fillId="2" borderId="10" xfId="7" applyFill="1" applyBorder="1" applyAlignment="1" applyProtection="1">
      <alignment horizontal="left" wrapText="1" indent="2"/>
      <protection locked="0"/>
    </xf>
    <xf numFmtId="0" fontId="13" fillId="2" borderId="10" xfId="7" applyFill="1" applyBorder="1" applyAlignment="1" applyProtection="1">
      <alignment horizontal="left" indent="4"/>
      <protection locked="0"/>
    </xf>
    <xf numFmtId="0" fontId="13" fillId="2" borderId="10" xfId="7" applyFill="1" applyBorder="1" applyAlignment="1" applyProtection="1">
      <alignment wrapText="1"/>
      <protection locked="0"/>
    </xf>
    <xf numFmtId="0" fontId="13" fillId="2" borderId="1" xfId="7" applyFill="1" applyBorder="1" applyAlignment="1" applyProtection="1">
      <alignment horizontal="left" wrapText="1" indent="2"/>
      <protection locked="0"/>
    </xf>
    <xf numFmtId="37" fontId="5" fillId="2" borderId="10" xfId="3" applyNumberFormat="1" applyFont="1" applyFill="1" applyBorder="1" applyProtection="1">
      <protection locked="0"/>
    </xf>
    <xf numFmtId="177" fontId="5" fillId="2" borderId="1" xfId="2" applyNumberFormat="1" applyFont="1" applyFill="1" applyBorder="1" applyAlignment="1">
      <alignment wrapText="1"/>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7" xfId="0" quotePrefix="1"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0" fillId="0" borderId="30" xfId="0" applyBorder="1" applyAlignment="1">
      <alignment horizontal="left" vertical="center" indent="1"/>
    </xf>
    <xf numFmtId="174" fontId="0" fillId="0" borderId="30" xfId="0" applyNumberFormat="1" applyBorder="1" applyAlignment="1">
      <alignment vertical="center"/>
    </xf>
    <xf numFmtId="178" fontId="0" fillId="0" borderId="30" xfId="0" applyNumberFormat="1" applyBorder="1" applyAlignment="1">
      <alignment vertical="center"/>
    </xf>
    <xf numFmtId="178" fontId="0" fillId="0" borderId="29" xfId="0" applyNumberFormat="1" applyBorder="1" applyAlignment="1">
      <alignment vertical="center"/>
    </xf>
    <xf numFmtId="178" fontId="0" fillId="7" borderId="22" xfId="0" applyNumberFormat="1" applyFill="1" applyBorder="1" applyAlignment="1">
      <alignment vertical="center"/>
    </xf>
    <xf numFmtId="173" fontId="0" fillId="7" borderId="28" xfId="8" applyNumberFormat="1" applyFont="1" applyFill="1" applyBorder="1" applyAlignment="1">
      <alignment vertical="center"/>
    </xf>
    <xf numFmtId="0" fontId="0" fillId="0" borderId="27" xfId="0" applyBorder="1" applyAlignment="1">
      <alignment horizontal="left" vertical="center" indent="1"/>
    </xf>
    <xf numFmtId="174" fontId="0" fillId="0" borderId="27" xfId="0" applyNumberFormat="1" applyBorder="1" applyAlignment="1">
      <alignment vertical="center"/>
    </xf>
    <xf numFmtId="175" fontId="0" fillId="0" borderId="27" xfId="0" applyNumberFormat="1" applyBorder="1" applyAlignment="1">
      <alignment vertical="center"/>
    </xf>
    <xf numFmtId="175" fontId="0" fillId="0" borderId="14" xfId="0" applyNumberFormat="1" applyBorder="1" applyAlignment="1">
      <alignment vertical="center"/>
    </xf>
    <xf numFmtId="175" fontId="0" fillId="7" borderId="0" xfId="0" applyNumberFormat="1" applyFill="1" applyAlignment="1">
      <alignment vertical="center"/>
    </xf>
    <xf numFmtId="173" fontId="0" fillId="7" borderId="15" xfId="8" applyNumberFormat="1" applyFont="1" applyFill="1" applyBorder="1" applyAlignment="1">
      <alignment vertical="center"/>
    </xf>
    <xf numFmtId="0" fontId="0" fillId="0" borderId="26" xfId="0" applyBorder="1" applyAlignment="1">
      <alignment horizontal="left" vertical="center" indent="1"/>
    </xf>
    <xf numFmtId="174" fontId="0" fillId="0" borderId="26" xfId="0" applyNumberFormat="1" applyBorder="1" applyAlignment="1">
      <alignment vertical="center"/>
    </xf>
    <xf numFmtId="0" fontId="27" fillId="0" borderId="11" xfId="0" applyFont="1" applyBorder="1" applyAlignment="1">
      <alignment horizontal="left" vertical="center" indent="1"/>
    </xf>
    <xf numFmtId="174" fontId="27" fillId="0" borderId="26" xfId="0" applyNumberFormat="1" applyFont="1" applyBorder="1" applyAlignment="1">
      <alignment vertical="center"/>
    </xf>
    <xf numFmtId="175" fontId="27" fillId="0" borderId="11" xfId="0" applyNumberFormat="1" applyFont="1" applyBorder="1" applyAlignment="1">
      <alignment vertical="center"/>
    </xf>
    <xf numFmtId="175" fontId="27" fillId="0" borderId="7" xfId="0" applyNumberFormat="1" applyFont="1" applyBorder="1" applyAlignment="1">
      <alignment vertical="center"/>
    </xf>
    <xf numFmtId="175" fontId="27" fillId="7" borderId="8" xfId="0" applyNumberFormat="1" applyFont="1" applyFill="1" applyBorder="1" applyAlignment="1">
      <alignment vertical="center"/>
    </xf>
    <xf numFmtId="173" fontId="27" fillId="7" borderId="9" xfId="8" applyNumberFormat="1" applyFont="1" applyFill="1" applyBorder="1" applyAlignment="1">
      <alignment vertical="center"/>
    </xf>
    <xf numFmtId="0" fontId="27" fillId="0" borderId="0" xfId="0" applyFont="1" applyAlignment="1">
      <alignment vertical="center"/>
    </xf>
    <xf numFmtId="169" fontId="0" fillId="0" borderId="0" xfId="9" applyNumberFormat="1" applyFont="1"/>
    <xf numFmtId="2" fontId="0" fillId="0" borderId="0" xfId="0" applyNumberFormat="1"/>
    <xf numFmtId="179" fontId="5" fillId="2" borderId="1" xfId="2" applyNumberFormat="1" applyFont="1" applyFill="1" applyBorder="1" applyAlignment="1">
      <alignment wrapText="1"/>
    </xf>
    <xf numFmtId="1" fontId="0" fillId="0" borderId="0" xfId="0" applyNumberFormat="1" applyAlignment="1">
      <alignment vertical="top" wrapText="1"/>
    </xf>
    <xf numFmtId="1" fontId="0" fillId="0" borderId="0" xfId="0" applyNumberFormat="1"/>
    <xf numFmtId="169" fontId="0" fillId="8" borderId="0" xfId="0" applyNumberFormat="1" applyFill="1"/>
    <xf numFmtId="166" fontId="6" fillId="2" borderId="8" xfId="2" applyNumberFormat="1" applyFont="1" applyFill="1" applyBorder="1" applyAlignment="1" applyProtection="1">
      <alignment wrapText="1"/>
      <protection hidden="1"/>
    </xf>
    <xf numFmtId="166" fontId="6" fillId="2" borderId="0" xfId="2" applyNumberFormat="1" applyFont="1" applyFill="1" applyAlignment="1" applyProtection="1">
      <alignment wrapText="1"/>
      <protection hidden="1"/>
    </xf>
    <xf numFmtId="37" fontId="5" fillId="0" borderId="37" xfId="2" applyNumberFormat="1" applyFont="1" applyBorder="1" applyAlignment="1">
      <alignment horizontal="left" vertical="top" wrapText="1"/>
    </xf>
    <xf numFmtId="37" fontId="5" fillId="0" borderId="39" xfId="2" applyNumberFormat="1" applyFont="1" applyBorder="1" applyAlignment="1">
      <alignment horizontal="left" vertical="top" wrapText="1"/>
    </xf>
    <xf numFmtId="37" fontId="5" fillId="0" borderId="38" xfId="2" applyNumberFormat="1" applyFont="1" applyBorder="1" applyAlignment="1">
      <alignment horizontal="left" vertical="top" wrapText="1"/>
    </xf>
    <xf numFmtId="0" fontId="22" fillId="0" borderId="0" xfId="0" applyFont="1" applyAlignment="1">
      <alignment horizontal="center" wrapText="1"/>
    </xf>
    <xf numFmtId="0" fontId="22" fillId="0" borderId="0" xfId="0" applyFont="1" applyAlignment="1">
      <alignment horizontal="center"/>
    </xf>
    <xf numFmtId="0" fontId="15" fillId="3" borderId="6"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37" fontId="21" fillId="5" borderId="0" xfId="3" applyNumberFormat="1" applyFont="1" applyFill="1" applyAlignment="1" applyProtection="1">
      <alignment horizontal="center" vertical="center"/>
    </xf>
    <xf numFmtId="37" fontId="5" fillId="2" borderId="0" xfId="4" applyNumberFormat="1" applyFont="1" applyFill="1" applyAlignment="1">
      <alignment horizontal="left" vertical="top" wrapText="1" indent="1"/>
    </xf>
    <xf numFmtId="37" fontId="5" fillId="3" borderId="0" xfId="2" applyNumberFormat="1" applyFont="1" applyFill="1" applyAlignment="1">
      <alignment horizontal="left" vertical="top" wrapText="1"/>
    </xf>
    <xf numFmtId="37" fontId="5" fillId="2" borderId="0" xfId="4" applyNumberFormat="1" applyFont="1" applyFill="1" applyAlignment="1">
      <alignment horizontal="left" vertical="top" wrapText="1"/>
    </xf>
    <xf numFmtId="37" fontId="5" fillId="2" borderId="21" xfId="4" applyNumberFormat="1" applyFont="1" applyFill="1" applyBorder="1" applyAlignment="1">
      <alignment horizontal="left" vertical="top" wrapText="1"/>
    </xf>
    <xf numFmtId="37" fontId="6" fillId="2" borderId="0" xfId="4" applyNumberFormat="1" applyFont="1" applyFill="1" applyAlignment="1">
      <alignment horizontal="left" vertical="top" wrapText="1"/>
    </xf>
    <xf numFmtId="37" fontId="5" fillId="0" borderId="0" xfId="2" applyNumberFormat="1" applyFont="1" applyAlignment="1">
      <alignment horizontal="left" vertical="top" wrapText="1"/>
    </xf>
    <xf numFmtId="0" fontId="15" fillId="3" borderId="32" xfId="0" applyFont="1" applyFill="1" applyBorder="1" applyAlignment="1" applyProtection="1">
      <alignment horizontal="left" vertical="top" wrapText="1"/>
      <protection locked="0"/>
    </xf>
    <xf numFmtId="0" fontId="15" fillId="3" borderId="33" xfId="0" applyFont="1" applyFill="1" applyBorder="1" applyAlignment="1" applyProtection="1">
      <alignment horizontal="left" vertical="top" wrapText="1"/>
      <protection locked="0"/>
    </xf>
    <xf numFmtId="0" fontId="0" fillId="3" borderId="7" xfId="0" applyFill="1" applyBorder="1" applyAlignment="1" applyProtection="1">
      <alignment horizontal="left" vertical="top" wrapText="1" indent="1"/>
      <protection locked="0"/>
    </xf>
    <xf numFmtId="0" fontId="0" fillId="3" borderId="8" xfId="0"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2" borderId="2" xfId="0" applyFill="1" applyBorder="1" applyAlignment="1">
      <alignment horizontal="left" wrapText="1"/>
    </xf>
    <xf numFmtId="0" fontId="1" fillId="2" borderId="2" xfId="0" applyFont="1" applyFill="1" applyBorder="1" applyAlignment="1">
      <alignment horizontal="left" wrapText="1"/>
    </xf>
    <xf numFmtId="37" fontId="13" fillId="2" borderId="10" xfId="7" applyNumberFormat="1" applyFill="1" applyBorder="1" applyAlignment="1" applyProtection="1">
      <alignment horizontal="left"/>
      <protection locked="0"/>
    </xf>
    <xf numFmtId="0" fontId="25" fillId="2" borderId="1" xfId="0" applyFont="1" applyFill="1" applyBorder="1" applyAlignment="1">
      <alignment wrapText="1"/>
    </xf>
    <xf numFmtId="37" fontId="6" fillId="4" borderId="24" xfId="4" applyNumberFormat="1" applyFont="1" applyFill="1" applyBorder="1" applyAlignment="1">
      <alignment horizontal="left" vertical="top" wrapText="1"/>
    </xf>
    <xf numFmtId="37" fontId="6" fillId="4" borderId="25" xfId="4" applyNumberFormat="1" applyFont="1" applyFill="1" applyBorder="1" applyAlignment="1">
      <alignment horizontal="left" vertical="top" wrapText="1"/>
    </xf>
    <xf numFmtId="0" fontId="13" fillId="2" borderId="0" xfId="7" applyFill="1" applyBorder="1" applyAlignment="1" applyProtection="1">
      <alignment horizontal="left" wrapText="1" indent="4"/>
      <protection locked="0"/>
    </xf>
    <xf numFmtId="37" fontId="6" fillId="2" borderId="0" xfId="4" applyNumberFormat="1" applyFont="1" applyFill="1" applyAlignment="1">
      <alignment horizontal="left" vertical="top"/>
    </xf>
    <xf numFmtId="37" fontId="6" fillId="3" borderId="7" xfId="4" applyNumberFormat="1" applyFont="1" applyFill="1" applyBorder="1" applyProtection="1">
      <protection locked="0"/>
    </xf>
    <xf numFmtId="37" fontId="6" fillId="3" borderId="8" xfId="4" applyNumberFormat="1" applyFont="1" applyFill="1" applyBorder="1" applyProtection="1">
      <protection locked="0"/>
    </xf>
    <xf numFmtId="37" fontId="6" fillId="3" borderId="9" xfId="4" applyNumberFormat="1" applyFont="1" applyFill="1" applyBorder="1" applyProtection="1">
      <protection locked="0"/>
    </xf>
    <xf numFmtId="37" fontId="18" fillId="0" borderId="0" xfId="2" applyNumberFormat="1" applyFont="1" applyAlignment="1">
      <alignment horizontal="left" vertical="top" wrapText="1"/>
    </xf>
    <xf numFmtId="37" fontId="5" fillId="0" borderId="0" xfId="2" applyNumberFormat="1" applyFont="1" applyAlignment="1">
      <alignment horizontal="center"/>
    </xf>
    <xf numFmtId="37" fontId="6" fillId="4" borderId="7" xfId="4" applyNumberFormat="1" applyFont="1" applyFill="1" applyBorder="1" applyAlignment="1" applyProtection="1">
      <alignment horizontal="center" vertical="top" wrapText="1"/>
      <protection hidden="1"/>
    </xf>
    <xf numFmtId="37" fontId="6" fillId="4" borderId="8" xfId="4" applyNumberFormat="1" applyFont="1" applyFill="1" applyBorder="1" applyAlignment="1" applyProtection="1">
      <alignment horizontal="center" vertical="top" wrapText="1"/>
      <protection hidden="1"/>
    </xf>
    <xf numFmtId="37" fontId="6" fillId="4" borderId="9" xfId="4" applyNumberFormat="1" applyFont="1" applyFill="1" applyBorder="1" applyAlignment="1" applyProtection="1">
      <alignment horizontal="center" vertical="top" wrapText="1"/>
      <protection hidden="1"/>
    </xf>
    <xf numFmtId="37" fontId="10" fillId="4" borderId="11" xfId="2" applyNumberFormat="1" applyFont="1" applyFill="1" applyBorder="1" applyAlignment="1" applyProtection="1">
      <alignment horizontal="center" wrapText="1"/>
      <protection hidden="1"/>
    </xf>
    <xf numFmtId="37" fontId="5" fillId="4" borderId="11" xfId="2" applyNumberFormat="1" applyFont="1" applyFill="1" applyBorder="1" applyAlignment="1" applyProtection="1">
      <alignment horizontal="left" wrapText="1"/>
      <protection hidden="1"/>
    </xf>
    <xf numFmtId="166" fontId="5" fillId="3" borderId="7" xfId="2" applyNumberFormat="1" applyFont="1" applyFill="1" applyBorder="1" applyAlignment="1" applyProtection="1">
      <alignment horizontal="left"/>
      <protection hidden="1"/>
    </xf>
    <xf numFmtId="166" fontId="5" fillId="3" borderId="8" xfId="2" applyNumberFormat="1" applyFont="1" applyFill="1" applyBorder="1" applyAlignment="1" applyProtection="1">
      <alignment horizontal="left"/>
      <protection hidden="1"/>
    </xf>
    <xf numFmtId="166" fontId="5" fillId="3" borderId="9" xfId="2" applyNumberFormat="1" applyFont="1" applyFill="1" applyBorder="1" applyAlignment="1" applyProtection="1">
      <alignment horizontal="left"/>
      <protection hidden="1"/>
    </xf>
    <xf numFmtId="0" fontId="0" fillId="2" borderId="7" xfId="0" applyFill="1" applyBorder="1" applyAlignment="1" applyProtection="1">
      <alignment horizontal="center" vertical="center" wrapText="1"/>
      <protection hidden="1"/>
    </xf>
    <xf numFmtId="0" fontId="0" fillId="2" borderId="9" xfId="0" applyFill="1" applyBorder="1" applyAlignment="1" applyProtection="1">
      <alignment horizontal="center" vertical="center" wrapText="1"/>
      <protection hidden="1"/>
    </xf>
    <xf numFmtId="0" fontId="0" fillId="2" borderId="7" xfId="0" applyFill="1" applyBorder="1" applyAlignment="1" applyProtection="1">
      <alignment horizontal="center" vertical="top" wrapText="1"/>
      <protection hidden="1"/>
    </xf>
    <xf numFmtId="0" fontId="0" fillId="2" borderId="8" xfId="0" applyFill="1" applyBorder="1" applyAlignment="1" applyProtection="1">
      <alignment horizontal="center" vertical="top" wrapText="1"/>
      <protection hidden="1"/>
    </xf>
    <xf numFmtId="0" fontId="0" fillId="2" borderId="9" xfId="0" applyFill="1" applyBorder="1" applyAlignment="1" applyProtection="1">
      <alignment horizontal="center" vertical="top" wrapText="1"/>
      <protection hidden="1"/>
    </xf>
    <xf numFmtId="37" fontId="6" fillId="4" borderId="13" xfId="4" applyNumberFormat="1" applyFont="1" applyFill="1" applyBorder="1" applyAlignment="1" applyProtection="1">
      <alignment horizontal="center" vertical="top" wrapText="1"/>
      <protection hidden="1"/>
    </xf>
    <xf numFmtId="37" fontId="5" fillId="4" borderId="16" xfId="2" applyNumberFormat="1" applyFont="1" applyFill="1" applyBorder="1" applyAlignment="1" applyProtection="1">
      <alignment horizontal="left" wrapText="1"/>
      <protection hidden="1"/>
    </xf>
    <xf numFmtId="37" fontId="5" fillId="4" borderId="17" xfId="2" applyNumberFormat="1" applyFont="1" applyFill="1" applyBorder="1" applyAlignment="1" applyProtection="1">
      <alignment horizontal="left" wrapText="1"/>
      <protection hidden="1"/>
    </xf>
    <xf numFmtId="37" fontId="5" fillId="4" borderId="18" xfId="2" applyNumberFormat="1" applyFont="1" applyFill="1" applyBorder="1" applyAlignment="1" applyProtection="1">
      <alignment horizontal="left" wrapText="1"/>
      <protection hidden="1"/>
    </xf>
    <xf numFmtId="37" fontId="5" fillId="4" borderId="12" xfId="2" applyNumberFormat="1" applyFont="1" applyFill="1" applyBorder="1" applyAlignment="1" applyProtection="1">
      <alignment horizontal="left" wrapText="1"/>
      <protection hidden="1"/>
    </xf>
    <xf numFmtId="37" fontId="5" fillId="4" borderId="5" xfId="2" applyNumberFormat="1" applyFont="1" applyFill="1" applyBorder="1" applyAlignment="1" applyProtection="1">
      <alignment horizontal="left" wrapText="1"/>
      <protection hidden="1"/>
    </xf>
    <xf numFmtId="37" fontId="5" fillId="4" borderId="19" xfId="2" applyNumberFormat="1" applyFont="1" applyFill="1" applyBorder="1" applyAlignment="1" applyProtection="1">
      <alignment horizontal="left" wrapText="1"/>
      <protection hidden="1"/>
    </xf>
    <xf numFmtId="37" fontId="5" fillId="2" borderId="14" xfId="2" applyNumberFormat="1" applyFont="1" applyFill="1" applyBorder="1" applyAlignment="1" applyProtection="1">
      <alignment horizontal="left" vertical="top" wrapText="1"/>
      <protection hidden="1"/>
    </xf>
    <xf numFmtId="37" fontId="5" fillId="2" borderId="0" xfId="2" applyNumberFormat="1" applyFont="1" applyFill="1" applyAlignment="1" applyProtection="1">
      <alignment horizontal="left" vertical="top" wrapText="1"/>
      <protection hidden="1"/>
    </xf>
    <xf numFmtId="37" fontId="6" fillId="4" borderId="7" xfId="4" applyNumberFormat="1" applyFont="1" applyFill="1" applyBorder="1" applyAlignment="1">
      <alignment horizontal="center" vertical="top" wrapText="1"/>
    </xf>
    <xf numFmtId="37" fontId="6" fillId="4" borderId="8" xfId="4" applyNumberFormat="1" applyFont="1" applyFill="1" applyBorder="1" applyAlignment="1">
      <alignment horizontal="center" vertical="top" wrapText="1"/>
    </xf>
    <xf numFmtId="37" fontId="6" fillId="4" borderId="9" xfId="4" applyNumberFormat="1" applyFont="1" applyFill="1" applyBorder="1" applyAlignment="1">
      <alignment horizontal="center" vertical="top" wrapText="1"/>
    </xf>
    <xf numFmtId="37" fontId="10" fillId="4" borderId="11" xfId="2" applyNumberFormat="1" applyFont="1" applyFill="1" applyBorder="1" applyAlignment="1">
      <alignment horizontal="center" wrapText="1"/>
    </xf>
    <xf numFmtId="37" fontId="5" fillId="4" borderId="11" xfId="2" applyNumberFormat="1" applyFont="1" applyFill="1" applyBorder="1" applyAlignment="1">
      <alignment horizontal="left" wrapText="1"/>
    </xf>
    <xf numFmtId="37" fontId="5" fillId="4" borderId="16" xfId="2" applyNumberFormat="1" applyFont="1" applyFill="1" applyBorder="1" applyAlignment="1">
      <alignment horizontal="left" wrapText="1"/>
    </xf>
    <xf numFmtId="37" fontId="5" fillId="4" borderId="17" xfId="2" applyNumberFormat="1" applyFont="1" applyFill="1" applyBorder="1" applyAlignment="1">
      <alignment horizontal="left" wrapText="1"/>
    </xf>
    <xf numFmtId="37" fontId="5" fillId="4" borderId="18" xfId="2" applyNumberFormat="1" applyFont="1" applyFill="1" applyBorder="1" applyAlignment="1">
      <alignment horizontal="left" wrapText="1"/>
    </xf>
    <xf numFmtId="166" fontId="5" fillId="3" borderId="7" xfId="2" applyNumberFormat="1" applyFont="1" applyFill="1" applyBorder="1" applyAlignment="1">
      <alignment horizontal="left"/>
    </xf>
    <xf numFmtId="166" fontId="5" fillId="3" borderId="8" xfId="2" applyNumberFormat="1" applyFont="1" applyFill="1" applyBorder="1" applyAlignment="1">
      <alignment horizontal="left"/>
    </xf>
    <xf numFmtId="166" fontId="5" fillId="3" borderId="9" xfId="2" applyNumberFormat="1" applyFont="1" applyFill="1" applyBorder="1" applyAlignment="1">
      <alignment horizontal="left"/>
    </xf>
    <xf numFmtId="37" fontId="5" fillId="4" borderId="12" xfId="2" applyNumberFormat="1" applyFont="1" applyFill="1" applyBorder="1" applyAlignment="1">
      <alignment horizontal="left" wrapText="1"/>
    </xf>
    <xf numFmtId="37" fontId="5" fillId="4" borderId="5" xfId="2" applyNumberFormat="1" applyFont="1" applyFill="1" applyBorder="1" applyAlignment="1">
      <alignment horizontal="left" wrapText="1"/>
    </xf>
    <xf numFmtId="37" fontId="5" fillId="4" borderId="19" xfId="2" applyNumberFormat="1" applyFont="1" applyFill="1" applyBorder="1" applyAlignment="1">
      <alignment horizontal="left"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37" fontId="5" fillId="2" borderId="14" xfId="2" applyNumberFormat="1" applyFont="1" applyFill="1" applyBorder="1" applyAlignment="1">
      <alignment horizontal="left" vertical="top" wrapText="1"/>
    </xf>
    <xf numFmtId="37" fontId="5" fillId="2" borderId="0" xfId="2" applyNumberFormat="1" applyFont="1" applyFill="1" applyAlignment="1">
      <alignment horizontal="left"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37" fontId="6" fillId="4" borderId="13" xfId="4" applyNumberFormat="1" applyFont="1" applyFill="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right"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9" xfId="0" applyFont="1" applyFill="1" applyBorder="1" applyAlignment="1">
      <alignment horizontal="center" vertical="center"/>
    </xf>
  </cellXfs>
  <cellStyles count="10">
    <cellStyle name="Comma" xfId="1" builtinId="3"/>
    <cellStyle name="Comma_Sample - Restricted - Trust Funds" xfId="3" xr:uid="{7D1E1213-383F-4A79-A168-19D7AD5432E1}"/>
    <cellStyle name="Currency" xfId="9" builtinId="4"/>
    <cellStyle name="Currency 2" xfId="6" xr:uid="{8EDD5AFA-1972-4B9E-B12D-79667DA1C9F7}"/>
    <cellStyle name="Hyperlink" xfId="7" builtinId="8"/>
    <cellStyle name="Normal" xfId="0" builtinId="0"/>
    <cellStyle name="Normal 2" xfId="2" xr:uid="{36C5A76E-AAE9-465C-AFB4-456FF57E36C4}"/>
    <cellStyle name="Normal 3" xfId="5" xr:uid="{05006009-50F1-40C2-BF99-77FCC930D560}"/>
    <cellStyle name="Normal_STATEMENT - CURRENT" xfId="4" xr:uid="{E2F172AF-D3D7-4D9C-87D2-B392B7BF9645}"/>
    <cellStyle name="Percent" xfId="8" builtinId="5"/>
  </cellStyles>
  <dxfs count="29">
    <dxf>
      <fill>
        <patternFill>
          <bgColor rgb="FFFFFFCC"/>
        </patternFill>
      </fill>
    </dxf>
    <dxf>
      <font>
        <b/>
        <i val="0"/>
        <condense val="0"/>
        <extend val="0"/>
        <color indexed="13"/>
      </font>
      <fill>
        <patternFill>
          <bgColor indexed="10"/>
        </patternFill>
      </fill>
    </dxf>
    <dxf>
      <fill>
        <patternFill>
          <bgColor rgb="FFFFFFCC"/>
        </patternFill>
      </fill>
    </dxf>
    <dxf>
      <font>
        <b/>
        <i val="0"/>
        <condense val="0"/>
        <extend val="0"/>
        <color indexed="13"/>
      </font>
      <fill>
        <patternFill>
          <bgColor indexed="10"/>
        </patternFill>
      </fill>
    </dxf>
    <dxf>
      <numFmt numFmtId="169" formatCode="&quot;$&quot;#,##0"/>
    </dxf>
    <dxf>
      <numFmt numFmtId="169" formatCode="&quot;$&quot;#,##0"/>
    </dxf>
    <dxf>
      <numFmt numFmtId="169" formatCode="&quot;$&quot;#,##0"/>
    </dxf>
    <dxf>
      <numFmt numFmtId="169" formatCode="&quot;$&quot;#,##0"/>
    </dxf>
    <dxf>
      <numFmt numFmtId="1" formatCode="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font>
        <b val="0"/>
        <i val="0"/>
        <strike val="0"/>
        <condense val="0"/>
        <extend val="0"/>
        <outline val="0"/>
        <shadow val="0"/>
        <u val="none"/>
        <vertAlign val="baseline"/>
        <sz val="11"/>
        <color theme="1"/>
        <name val="Calibri"/>
        <family val="2"/>
        <scheme val="minor"/>
      </font>
      <numFmt numFmtId="169" formatCode="&quot;$&quot;#,##0"/>
    </dxf>
    <dxf>
      <numFmt numFmtId="169" formatCode="&quot;$&quot;#,##0"/>
    </dxf>
    <dxf>
      <alignment horizontal="general" vertical="top" textRotation="0" wrapText="1" indent="0" justifyLastLine="0" shrinkToFit="0" readingOrder="0"/>
    </dxf>
  </dxfs>
  <tableStyles count="0" defaultTableStyle="TableStyleMedium2" defaultPivotStyle="PivotStyleLight16"/>
  <colors>
    <mruColors>
      <color rgb="FFFFFFCC"/>
      <color rgb="FFFFFF00"/>
      <color rgb="FFA3902F"/>
      <color rgb="FFFFEE6D"/>
      <color rgb="FFEED2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730611</xdr:colOff>
      <xdr:row>0</xdr:row>
      <xdr:rowOff>0</xdr:rowOff>
    </xdr:from>
    <xdr:ext cx="647713" cy="549824"/>
    <xdr:pic>
      <xdr:nvPicPr>
        <xdr:cNvPr id="2" name="Picture 1">
          <a:extLst>
            <a:ext uri="{FF2B5EF4-FFF2-40B4-BE49-F238E27FC236}">
              <a16:creationId xmlns:a16="http://schemas.microsoft.com/office/drawing/2014/main" id="{E2AC863C-868D-4E84-B7AA-C4D752429BA4}"/>
            </a:ext>
          </a:extLst>
        </xdr:cNvPr>
        <xdr:cNvPicPr>
          <a:picLocks noChangeAspect="1"/>
        </xdr:cNvPicPr>
      </xdr:nvPicPr>
      <xdr:blipFill>
        <a:blip xmlns:r="http://schemas.openxmlformats.org/officeDocument/2006/relationships" r:embed="rId1"/>
        <a:stretch>
          <a:fillRect/>
        </a:stretch>
      </xdr:blipFill>
      <xdr:spPr>
        <a:xfrm>
          <a:off x="1210671" y="0"/>
          <a:ext cx="647713" cy="549824"/>
        </a:xfrm>
        <a:prstGeom prst="rect">
          <a:avLst/>
        </a:prstGeom>
      </xdr:spPr>
    </xdr:pic>
    <xdr:clientData/>
  </xdr:oneCellAnchor>
  <xdr:oneCellAnchor>
    <xdr:from>
      <xdr:col>4</xdr:col>
      <xdr:colOff>4270375</xdr:colOff>
      <xdr:row>28</xdr:row>
      <xdr:rowOff>1539875</xdr:rowOff>
    </xdr:from>
    <xdr:ext cx="184731" cy="264560"/>
    <xdr:sp macro="" textlink="">
      <xdr:nvSpPr>
        <xdr:cNvPr id="4" name="TextBox 3">
          <a:extLst>
            <a:ext uri="{FF2B5EF4-FFF2-40B4-BE49-F238E27FC236}">
              <a16:creationId xmlns:a16="http://schemas.microsoft.com/office/drawing/2014/main" id="{64A4A828-E43D-43D3-A2AA-E833579ADFCB}"/>
            </a:ext>
          </a:extLst>
        </xdr:cNvPr>
        <xdr:cNvSpPr txBox="1"/>
      </xdr:nvSpPr>
      <xdr:spPr>
        <a:xfrm>
          <a:off x="7706995" y="135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0</xdr:col>
      <xdr:colOff>45431</xdr:colOff>
      <xdr:row>0</xdr:row>
      <xdr:rowOff>50338</xdr:rowOff>
    </xdr:from>
    <xdr:to>
      <xdr:col>1</xdr:col>
      <xdr:colOff>592222</xdr:colOff>
      <xdr:row>0</xdr:row>
      <xdr:rowOff>434867</xdr:rowOff>
    </xdr:to>
    <xdr:pic>
      <xdr:nvPicPr>
        <xdr:cNvPr id="5" name="Picture 4">
          <a:extLst>
            <a:ext uri="{FF2B5EF4-FFF2-40B4-BE49-F238E27FC236}">
              <a16:creationId xmlns:a16="http://schemas.microsoft.com/office/drawing/2014/main" id="{61C15B3B-D489-4AF9-96EC-2B9F65AA142D}"/>
            </a:ext>
          </a:extLst>
        </xdr:cNvPr>
        <xdr:cNvPicPr>
          <a:picLocks noChangeAspect="1"/>
        </xdr:cNvPicPr>
      </xdr:nvPicPr>
      <xdr:blipFill>
        <a:blip xmlns:r="http://schemas.openxmlformats.org/officeDocument/2006/relationships" r:embed="rId2"/>
        <a:stretch>
          <a:fillRect/>
        </a:stretch>
      </xdr:blipFill>
      <xdr:spPr>
        <a:xfrm>
          <a:off x="45431" y="50338"/>
          <a:ext cx="1013516" cy="373099"/>
        </a:xfrm>
        <a:prstGeom prst="rect">
          <a:avLst/>
        </a:prstGeom>
      </xdr:spPr>
    </xdr:pic>
    <xdr:clientData/>
  </xdr:twoCellAnchor>
  <xdr:twoCellAnchor>
    <xdr:from>
      <xdr:col>5</xdr:col>
      <xdr:colOff>190500</xdr:colOff>
      <xdr:row>30</xdr:row>
      <xdr:rowOff>1385455</xdr:rowOff>
    </xdr:from>
    <xdr:to>
      <xdr:col>6</xdr:col>
      <xdr:colOff>17318</xdr:colOff>
      <xdr:row>30</xdr:row>
      <xdr:rowOff>1688523</xdr:rowOff>
    </xdr:to>
    <xdr:sp macro="" textlink="">
      <xdr:nvSpPr>
        <xdr:cNvPr id="6" name="TextBox 5">
          <a:extLst>
            <a:ext uri="{FF2B5EF4-FFF2-40B4-BE49-F238E27FC236}">
              <a16:creationId xmlns:a16="http://schemas.microsoft.com/office/drawing/2014/main" id="{12E52A28-0F3B-4E4E-BEE1-EDDDE33013FD}"/>
            </a:ext>
          </a:extLst>
        </xdr:cNvPr>
        <xdr:cNvSpPr txBox="1"/>
      </xdr:nvSpPr>
      <xdr:spPr>
        <a:xfrm>
          <a:off x="7894320" y="14636635"/>
          <a:ext cx="98505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prepopulate  </a:t>
          </a:r>
        </a:p>
        <a:p>
          <a:endParaRPr lang="en-CA" sz="1100"/>
        </a:p>
      </xdr:txBody>
    </xdr:sp>
    <xdr:clientData/>
  </xdr:twoCellAnchor>
  <xdr:twoCellAnchor>
    <xdr:from>
      <xdr:col>7</xdr:col>
      <xdr:colOff>199507</xdr:colOff>
      <xdr:row>37</xdr:row>
      <xdr:rowOff>186862</xdr:rowOff>
    </xdr:from>
    <xdr:to>
      <xdr:col>7</xdr:col>
      <xdr:colOff>1197930</xdr:colOff>
      <xdr:row>38</xdr:row>
      <xdr:rowOff>441613</xdr:rowOff>
    </xdr:to>
    <xdr:sp macro="" textlink="">
      <xdr:nvSpPr>
        <xdr:cNvPr id="7" name="TextBox 6">
          <a:extLst>
            <a:ext uri="{FF2B5EF4-FFF2-40B4-BE49-F238E27FC236}">
              <a16:creationId xmlns:a16="http://schemas.microsoft.com/office/drawing/2014/main" id="{06464E74-FF73-4BDB-A8C4-37C36AF41E11}"/>
            </a:ext>
          </a:extLst>
        </xdr:cNvPr>
        <xdr:cNvSpPr txBox="1"/>
      </xdr:nvSpPr>
      <xdr:spPr>
        <a:xfrm>
          <a:off x="10227427" y="16775602"/>
          <a:ext cx="998423" cy="44525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a:t>School</a:t>
          </a:r>
          <a:r>
            <a:rPr lang="en-CA" sz="1100" baseline="0"/>
            <a:t> district proxy spend:  </a:t>
          </a:r>
          <a:endParaRPr lang="en-CA" sz="1100"/>
        </a:p>
      </xdr:txBody>
    </xdr:sp>
    <xdr:clientData/>
  </xdr:twoCellAnchor>
  <xdr:twoCellAnchor>
    <xdr:from>
      <xdr:col>6</xdr:col>
      <xdr:colOff>190500</xdr:colOff>
      <xdr:row>30</xdr:row>
      <xdr:rowOff>1385455</xdr:rowOff>
    </xdr:from>
    <xdr:to>
      <xdr:col>7</xdr:col>
      <xdr:colOff>17318</xdr:colOff>
      <xdr:row>30</xdr:row>
      <xdr:rowOff>1688523</xdr:rowOff>
    </xdr:to>
    <xdr:sp macro="" textlink="">
      <xdr:nvSpPr>
        <xdr:cNvPr id="8" name="TextBox 7">
          <a:extLst>
            <a:ext uri="{FF2B5EF4-FFF2-40B4-BE49-F238E27FC236}">
              <a16:creationId xmlns:a16="http://schemas.microsoft.com/office/drawing/2014/main" id="{D5E0955D-0907-4E33-8C92-3BAD040EC4FA}"/>
            </a:ext>
          </a:extLst>
        </xdr:cNvPr>
        <xdr:cNvSpPr txBox="1"/>
      </xdr:nvSpPr>
      <xdr:spPr>
        <a:xfrm>
          <a:off x="7894320" y="13905115"/>
          <a:ext cx="98505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prepopulate  </a:t>
          </a:r>
        </a:p>
        <a:p>
          <a:endParaRPr lang="en-CA" sz="1100"/>
        </a:p>
      </xdr:txBody>
    </xdr:sp>
    <xdr:clientData/>
  </xdr:twoCellAnchor>
  <xdr:twoCellAnchor editAs="oneCell">
    <xdr:from>
      <xdr:col>1</xdr:col>
      <xdr:colOff>1479177</xdr:colOff>
      <xdr:row>0</xdr:row>
      <xdr:rowOff>98611</xdr:rowOff>
    </xdr:from>
    <xdr:to>
      <xdr:col>1</xdr:col>
      <xdr:colOff>2590801</xdr:colOff>
      <xdr:row>0</xdr:row>
      <xdr:rowOff>457200</xdr:rowOff>
    </xdr:to>
    <xdr:pic>
      <xdr:nvPicPr>
        <xdr:cNvPr id="13" name="Picture 12" descr="Logo, company name&#10;&#10;Description automatically generated">
          <a:extLst>
            <a:ext uri="{FF2B5EF4-FFF2-40B4-BE49-F238E27FC236}">
              <a16:creationId xmlns:a16="http://schemas.microsoft.com/office/drawing/2014/main" id="{5FEDAF58-E736-CAEB-DFA3-BF6F0FE1DB2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63271" y="98611"/>
          <a:ext cx="1111624" cy="3585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730611</xdr:colOff>
      <xdr:row>0</xdr:row>
      <xdr:rowOff>0</xdr:rowOff>
    </xdr:from>
    <xdr:ext cx="647713" cy="549824"/>
    <xdr:pic>
      <xdr:nvPicPr>
        <xdr:cNvPr id="2" name="Picture 1">
          <a:extLst>
            <a:ext uri="{FF2B5EF4-FFF2-40B4-BE49-F238E27FC236}">
              <a16:creationId xmlns:a16="http://schemas.microsoft.com/office/drawing/2014/main" id="{88306762-1E91-4939-8B48-B6A80407EA6E}"/>
            </a:ext>
          </a:extLst>
        </xdr:cNvPr>
        <xdr:cNvPicPr>
          <a:picLocks noChangeAspect="1"/>
        </xdr:cNvPicPr>
      </xdr:nvPicPr>
      <xdr:blipFill>
        <a:blip xmlns:r="http://schemas.openxmlformats.org/officeDocument/2006/relationships" r:embed="rId1"/>
        <a:stretch>
          <a:fillRect/>
        </a:stretch>
      </xdr:blipFill>
      <xdr:spPr>
        <a:xfrm>
          <a:off x="1210671" y="0"/>
          <a:ext cx="647713" cy="549824"/>
        </a:xfrm>
        <a:prstGeom prst="rect">
          <a:avLst/>
        </a:prstGeom>
      </xdr:spPr>
    </xdr:pic>
    <xdr:clientData/>
  </xdr:oneCellAnchor>
  <xdr:oneCellAnchor>
    <xdr:from>
      <xdr:col>4</xdr:col>
      <xdr:colOff>4270375</xdr:colOff>
      <xdr:row>30</xdr:row>
      <xdr:rowOff>1539875</xdr:rowOff>
    </xdr:from>
    <xdr:ext cx="184731" cy="264560"/>
    <xdr:sp macro="" textlink="">
      <xdr:nvSpPr>
        <xdr:cNvPr id="4" name="TextBox 3">
          <a:extLst>
            <a:ext uri="{FF2B5EF4-FFF2-40B4-BE49-F238E27FC236}">
              <a16:creationId xmlns:a16="http://schemas.microsoft.com/office/drawing/2014/main" id="{2E984E01-8BCD-45CF-9186-EC05916A9407}"/>
            </a:ext>
          </a:extLst>
        </xdr:cNvPr>
        <xdr:cNvSpPr txBox="1"/>
      </xdr:nvSpPr>
      <xdr:spPr>
        <a:xfrm>
          <a:off x="7706995" y="135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0</xdr:col>
      <xdr:colOff>114011</xdr:colOff>
      <xdr:row>0</xdr:row>
      <xdr:rowOff>80818</xdr:rowOff>
    </xdr:from>
    <xdr:to>
      <xdr:col>1</xdr:col>
      <xdr:colOff>647467</xdr:colOff>
      <xdr:row>0</xdr:row>
      <xdr:rowOff>453917</xdr:rowOff>
    </xdr:to>
    <xdr:pic>
      <xdr:nvPicPr>
        <xdr:cNvPr id="5" name="Picture 4">
          <a:extLst>
            <a:ext uri="{FF2B5EF4-FFF2-40B4-BE49-F238E27FC236}">
              <a16:creationId xmlns:a16="http://schemas.microsoft.com/office/drawing/2014/main" id="{07584E84-F559-4573-950F-513A3E5566B2}"/>
            </a:ext>
          </a:extLst>
        </xdr:cNvPr>
        <xdr:cNvPicPr>
          <a:picLocks noChangeAspect="1"/>
        </xdr:cNvPicPr>
      </xdr:nvPicPr>
      <xdr:blipFill>
        <a:blip xmlns:r="http://schemas.openxmlformats.org/officeDocument/2006/relationships" r:embed="rId2"/>
        <a:stretch>
          <a:fillRect/>
        </a:stretch>
      </xdr:blipFill>
      <xdr:spPr>
        <a:xfrm>
          <a:off x="114011" y="80818"/>
          <a:ext cx="1013516" cy="373099"/>
        </a:xfrm>
        <a:prstGeom prst="rect">
          <a:avLst/>
        </a:prstGeom>
      </xdr:spPr>
    </xdr:pic>
    <xdr:clientData/>
  </xdr:twoCellAnchor>
  <xdr:twoCellAnchor>
    <xdr:from>
      <xdr:col>5</xdr:col>
      <xdr:colOff>190500</xdr:colOff>
      <xdr:row>32</xdr:row>
      <xdr:rowOff>1385455</xdr:rowOff>
    </xdr:from>
    <xdr:to>
      <xdr:col>6</xdr:col>
      <xdr:colOff>17318</xdr:colOff>
      <xdr:row>32</xdr:row>
      <xdr:rowOff>1688523</xdr:rowOff>
    </xdr:to>
    <xdr:sp macro="" textlink="">
      <xdr:nvSpPr>
        <xdr:cNvPr id="6" name="TextBox 5">
          <a:extLst>
            <a:ext uri="{FF2B5EF4-FFF2-40B4-BE49-F238E27FC236}">
              <a16:creationId xmlns:a16="http://schemas.microsoft.com/office/drawing/2014/main" id="{8EE8BECF-D3E4-4BF3-852E-2FB906FBF29A}"/>
            </a:ext>
          </a:extLst>
        </xdr:cNvPr>
        <xdr:cNvSpPr txBox="1"/>
      </xdr:nvSpPr>
      <xdr:spPr>
        <a:xfrm>
          <a:off x="7894320" y="14743315"/>
          <a:ext cx="98505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prepopulate  </a:t>
          </a:r>
        </a:p>
        <a:p>
          <a:endParaRPr lang="en-CA" sz="1100"/>
        </a:p>
      </xdr:txBody>
    </xdr:sp>
    <xdr:clientData/>
  </xdr:twoCellAnchor>
  <xdr:oneCellAnchor>
    <xdr:from>
      <xdr:col>0</xdr:col>
      <xdr:colOff>426244</xdr:colOff>
      <xdr:row>17</xdr:row>
      <xdr:rowOff>261938</xdr:rowOff>
    </xdr:from>
    <xdr:ext cx="11166744" cy="937629"/>
    <xdr:sp macro="" textlink="">
      <xdr:nvSpPr>
        <xdr:cNvPr id="8" name="Rectangle 7">
          <a:extLst>
            <a:ext uri="{FF2B5EF4-FFF2-40B4-BE49-F238E27FC236}">
              <a16:creationId xmlns:a16="http://schemas.microsoft.com/office/drawing/2014/main" id="{74011F0D-490C-441D-AE86-6A415F38D5A9}"/>
            </a:ext>
          </a:extLst>
        </xdr:cNvPr>
        <xdr:cNvSpPr/>
      </xdr:nvSpPr>
      <xdr:spPr>
        <a:xfrm rot="19993165">
          <a:off x="426244" y="7339013"/>
          <a:ext cx="11166744" cy="937629"/>
        </a:xfrm>
        <a:prstGeom prst="rect">
          <a:avLst/>
        </a:prstGeom>
        <a:noFill/>
      </xdr:spPr>
      <xdr:txBody>
        <a:bodyPr wrap="square" lIns="91440" tIns="45720" rIns="91440" bIns="45720">
          <a:spAutoFit/>
        </a:bodyPr>
        <a:lstStyle/>
        <a:p>
          <a:pPr algn="ctr"/>
          <a:r>
            <a:rPr lang="en-US" sz="5400" b="1" cap="none" spc="50">
              <a:ln w="0"/>
              <a:solidFill>
                <a:schemeClr val="bg2"/>
              </a:solidFill>
              <a:effectLst>
                <a:innerShdw blurRad="63500" dist="50800" dir="13500000">
                  <a:srgbClr val="000000">
                    <a:alpha val="50000"/>
                  </a:srgbClr>
                </a:innerShdw>
              </a:effectLst>
            </a:rPr>
            <a:t>EXAMPLE ONLY</a:t>
          </a:r>
        </a:p>
      </xdr:txBody>
    </xdr:sp>
    <xdr:clientData/>
  </xdr:oneCellAnchor>
  <xdr:twoCellAnchor>
    <xdr:from>
      <xdr:col>3</xdr:col>
      <xdr:colOff>16192</xdr:colOff>
      <xdr:row>38</xdr:row>
      <xdr:rowOff>354330</xdr:rowOff>
    </xdr:from>
    <xdr:to>
      <xdr:col>6</xdr:col>
      <xdr:colOff>1092517</xdr:colOff>
      <xdr:row>40</xdr:row>
      <xdr:rowOff>57150</xdr:rowOff>
    </xdr:to>
    <xdr:sp macro="" textlink="">
      <xdr:nvSpPr>
        <xdr:cNvPr id="9" name="TextBox 8">
          <a:extLst>
            <a:ext uri="{FF2B5EF4-FFF2-40B4-BE49-F238E27FC236}">
              <a16:creationId xmlns:a16="http://schemas.microsoft.com/office/drawing/2014/main" id="{A7FA0016-4751-4529-B895-FF2ABF943AA0}"/>
            </a:ext>
          </a:extLst>
        </xdr:cNvPr>
        <xdr:cNvSpPr txBox="1"/>
      </xdr:nvSpPr>
      <xdr:spPr>
        <a:xfrm>
          <a:off x="5359717" y="16451580"/>
          <a:ext cx="4591050" cy="826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cell H38 (Amended budget for First Nation Student Transportation) is equal to or greater than cell G27 (School District Transportation Proxy), display will be "Yes" otherwise will be "No, please explain in space provided"</a:t>
          </a:r>
        </a:p>
      </xdr:txBody>
    </xdr:sp>
    <xdr:clientData/>
  </xdr:twoCellAnchor>
  <xdr:oneCellAnchor>
    <xdr:from>
      <xdr:col>1</xdr:col>
      <xdr:colOff>730611</xdr:colOff>
      <xdr:row>0</xdr:row>
      <xdr:rowOff>0</xdr:rowOff>
    </xdr:from>
    <xdr:ext cx="647713" cy="549824"/>
    <xdr:pic>
      <xdr:nvPicPr>
        <xdr:cNvPr id="10" name="Picture 9">
          <a:extLst>
            <a:ext uri="{FF2B5EF4-FFF2-40B4-BE49-F238E27FC236}">
              <a16:creationId xmlns:a16="http://schemas.microsoft.com/office/drawing/2014/main" id="{F9D97441-5CD0-4AA0-A6D4-C73AD223E2BC}"/>
            </a:ext>
          </a:extLst>
        </xdr:cNvPr>
        <xdr:cNvPicPr>
          <a:picLocks noChangeAspect="1"/>
        </xdr:cNvPicPr>
      </xdr:nvPicPr>
      <xdr:blipFill>
        <a:blip xmlns:r="http://schemas.openxmlformats.org/officeDocument/2006/relationships" r:embed="rId1"/>
        <a:stretch>
          <a:fillRect/>
        </a:stretch>
      </xdr:blipFill>
      <xdr:spPr>
        <a:xfrm>
          <a:off x="1210671" y="0"/>
          <a:ext cx="647713" cy="549824"/>
        </a:xfrm>
        <a:prstGeom prst="rect">
          <a:avLst/>
        </a:prstGeom>
      </xdr:spPr>
    </xdr:pic>
    <xdr:clientData/>
  </xdr:oneCellAnchor>
  <xdr:oneCellAnchor>
    <xdr:from>
      <xdr:col>4</xdr:col>
      <xdr:colOff>4270375</xdr:colOff>
      <xdr:row>28</xdr:row>
      <xdr:rowOff>1539875</xdr:rowOff>
    </xdr:from>
    <xdr:ext cx="184731" cy="264560"/>
    <xdr:sp macro="" textlink="">
      <xdr:nvSpPr>
        <xdr:cNvPr id="12" name="TextBox 11">
          <a:extLst>
            <a:ext uri="{FF2B5EF4-FFF2-40B4-BE49-F238E27FC236}">
              <a16:creationId xmlns:a16="http://schemas.microsoft.com/office/drawing/2014/main" id="{298AB9FC-282C-4EA3-9145-06CE8B2A8CA5}"/>
            </a:ext>
          </a:extLst>
        </xdr:cNvPr>
        <xdr:cNvSpPr txBox="1"/>
      </xdr:nvSpPr>
      <xdr:spPr>
        <a:xfrm>
          <a:off x="7706995" y="12809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5</xdr:col>
      <xdr:colOff>190500</xdr:colOff>
      <xdr:row>30</xdr:row>
      <xdr:rowOff>1385455</xdr:rowOff>
    </xdr:from>
    <xdr:to>
      <xdr:col>6</xdr:col>
      <xdr:colOff>17318</xdr:colOff>
      <xdr:row>30</xdr:row>
      <xdr:rowOff>1688523</xdr:rowOff>
    </xdr:to>
    <xdr:sp macro="" textlink="">
      <xdr:nvSpPr>
        <xdr:cNvPr id="14" name="TextBox 13">
          <a:extLst>
            <a:ext uri="{FF2B5EF4-FFF2-40B4-BE49-F238E27FC236}">
              <a16:creationId xmlns:a16="http://schemas.microsoft.com/office/drawing/2014/main" id="{69B803E8-8DE2-4A6E-9E58-36099E806CCC}"/>
            </a:ext>
          </a:extLst>
        </xdr:cNvPr>
        <xdr:cNvSpPr txBox="1"/>
      </xdr:nvSpPr>
      <xdr:spPr>
        <a:xfrm>
          <a:off x="7894320" y="13905115"/>
          <a:ext cx="98505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prepopulate  </a:t>
          </a:r>
        </a:p>
        <a:p>
          <a:endParaRPr lang="en-CA" sz="1100"/>
        </a:p>
      </xdr:txBody>
    </xdr:sp>
    <xdr:clientData/>
  </xdr:twoCellAnchor>
  <xdr:twoCellAnchor>
    <xdr:from>
      <xdr:col>7</xdr:col>
      <xdr:colOff>170932</xdr:colOff>
      <xdr:row>38</xdr:row>
      <xdr:rowOff>101137</xdr:rowOff>
    </xdr:from>
    <xdr:to>
      <xdr:col>7</xdr:col>
      <xdr:colOff>1169355</xdr:colOff>
      <xdr:row>39</xdr:row>
      <xdr:rowOff>12988</xdr:rowOff>
    </xdr:to>
    <xdr:sp macro="" textlink="">
      <xdr:nvSpPr>
        <xdr:cNvPr id="15" name="TextBox 14">
          <a:extLst>
            <a:ext uri="{FF2B5EF4-FFF2-40B4-BE49-F238E27FC236}">
              <a16:creationId xmlns:a16="http://schemas.microsoft.com/office/drawing/2014/main" id="{462BCFC1-6A4B-4091-9D0B-7F656807C856}"/>
            </a:ext>
          </a:extLst>
        </xdr:cNvPr>
        <xdr:cNvSpPr txBox="1"/>
      </xdr:nvSpPr>
      <xdr:spPr>
        <a:xfrm>
          <a:off x="10191232" y="16198387"/>
          <a:ext cx="998423" cy="44525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a:t>School</a:t>
          </a:r>
          <a:r>
            <a:rPr lang="en-CA" sz="1100" baseline="0"/>
            <a:t> district proxy spend:  </a:t>
          </a:r>
          <a:endParaRPr lang="en-CA" sz="1100"/>
        </a:p>
      </xdr:txBody>
    </xdr:sp>
    <xdr:clientData/>
  </xdr:twoCellAnchor>
  <xdr:twoCellAnchor>
    <xdr:from>
      <xdr:col>6</xdr:col>
      <xdr:colOff>190500</xdr:colOff>
      <xdr:row>30</xdr:row>
      <xdr:rowOff>1385455</xdr:rowOff>
    </xdr:from>
    <xdr:to>
      <xdr:col>7</xdr:col>
      <xdr:colOff>17318</xdr:colOff>
      <xdr:row>30</xdr:row>
      <xdr:rowOff>1688523</xdr:rowOff>
    </xdr:to>
    <xdr:sp macro="" textlink="">
      <xdr:nvSpPr>
        <xdr:cNvPr id="16" name="TextBox 15">
          <a:extLst>
            <a:ext uri="{FF2B5EF4-FFF2-40B4-BE49-F238E27FC236}">
              <a16:creationId xmlns:a16="http://schemas.microsoft.com/office/drawing/2014/main" id="{B14AE575-574D-469D-A427-730264A1DCC8}"/>
            </a:ext>
          </a:extLst>
        </xdr:cNvPr>
        <xdr:cNvSpPr txBox="1"/>
      </xdr:nvSpPr>
      <xdr:spPr>
        <a:xfrm>
          <a:off x="7886700" y="13943215"/>
          <a:ext cx="98886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prepopulate  </a:t>
          </a:r>
        </a:p>
        <a:p>
          <a:endParaRPr lang="en-CA" sz="1100"/>
        </a:p>
      </xdr:txBody>
    </xdr:sp>
    <xdr:clientData/>
  </xdr:twoCellAnchor>
  <xdr:twoCellAnchor editAs="oneCell">
    <xdr:from>
      <xdr:col>1</xdr:col>
      <xdr:colOff>1552575</xdr:colOff>
      <xdr:row>0</xdr:row>
      <xdr:rowOff>85725</xdr:rowOff>
    </xdr:from>
    <xdr:to>
      <xdr:col>1</xdr:col>
      <xdr:colOff>2664199</xdr:colOff>
      <xdr:row>0</xdr:row>
      <xdr:rowOff>440504</xdr:rowOff>
    </xdr:to>
    <xdr:pic>
      <xdr:nvPicPr>
        <xdr:cNvPr id="7" name="Picture 6" descr="Logo, company name&#10;&#10;Description automatically generated">
          <a:extLst>
            <a:ext uri="{FF2B5EF4-FFF2-40B4-BE49-F238E27FC236}">
              <a16:creationId xmlns:a16="http://schemas.microsoft.com/office/drawing/2014/main" id="{15AFAF7A-D4E5-41A3-84AF-8091D326A7B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8825" y="85725"/>
          <a:ext cx="1111624" cy="35858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ing, Aimee ECC:EX" id="{1A098D37-6EE9-44C6-9C66-A5E9E664FBCF}" userId="S::Aimee.King@gov.bc.ca::1236fff7-25dc-4e32-bc07-b7f32f66b84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9F2ABC-FAAD-42E8-9A1B-73B4161665D1}" name="Table2" displayName="Table2" ref="A1:AE63" totalsRowShown="0" headerRowDxfId="28">
  <autoFilter ref="A1:AE63" xr:uid="{EE9F2ABC-FAAD-42E8-9A1B-73B4161665D1}"/>
  <tableColumns count="31">
    <tableColumn id="1" xr3:uid="{9F0C9D21-202B-4835-85D2-572EA53006B0}" name="SD Number"/>
    <tableColumn id="2" xr3:uid="{E0D43A1F-3E79-4DB5-AA31-D391A457C499}" name="School District"/>
    <tableColumn id="3" xr3:uid="{3EE0B5CF-0D26-45A6-BF58-353CA8251663}" name="2022-23 Reported BC Residents Attending School"/>
    <tableColumn id="4" xr3:uid="{5048750C-A108-4C4C-83F8-9A7EF5179795}" name="2022-23 Reported BC Residents Requiring Transportation"/>
    <tableColumn id="5" xr3:uid="{D57C074C-4B08-46B9-A7CA-CF12D4F1F268}" name="2022-23 Reported Nominal Roll Students Requiring Transportation"/>
    <tableColumn id="6" xr3:uid="{7066F1DD-B967-4501-A520-1005CC9292F6}" name="2022-23 Reported Total Distance Covered Daily by Buses (KM)"/>
    <tableColumn id="7" xr3:uid="{2423FFB7-DCB4-43F9-8E37-30F6560DA92C}" name="2022-23 First Nation Students living on reserve  Transportation spending _x000a_(school district reported) to June 30, 2022) "/>
    <tableColumn id="8" xr3:uid="{48CC0353-E4D9-4C2D-BB9D-F590922611A9}" name="2022-23 Actual Student Transportation spending_x000a_ (June 30, 2022 audited financial statement)_x000a_(all students)" dataDxfId="27" dataCellStyle="Currency"/>
    <tableColumn id="25" xr3:uid="{2D81000A-87E9-4483-A128-07B7277BF627}" name="2023/24 Amended budget_x000a_Student Transportation to Jun 30, 2024 as of Feb 29, 2024 _x000a_(all students)" dataDxfId="26" dataCellStyle="Currency"/>
    <tableColumn id="9" xr3:uid="{95B7D13E-496D-4D95-A4FF-3C691FD09067}" name="2022-23 BCTEA To/from Carryover" dataDxfId="25" dataCellStyle="Currency"/>
    <tableColumn id="10" xr3:uid="{2D5C6525-4CBC-440D-B9DA-E9A0CE83AA2C}" name="2022-23 BCTEA EX Carryover" dataDxfId="24"/>
    <tableColumn id="11" xr3:uid="{7024D950-9A14-448D-A6C7-69A5036250D0}" name="2022-23 BCTEA Shelter Carryover" dataDxfId="23"/>
    <tableColumn id="12" xr3:uid="{EC8223F6-FEF4-4334-B28E-36028192589C}" name="2023-24 BCTEA Approved" dataDxfId="22"/>
    <tableColumn id="13" xr3:uid="{B61DCECD-E7DB-4A3C-B1D5-BD9258E637EC}" name="2023-24 EX Allocation" dataDxfId="21"/>
    <tableColumn id="14" xr3:uid="{68CAE2A6-6BC5-4EDA-BFAF-F15F23141110}" name="2023-24 CDS Payment" dataDxfId="20"/>
    <tableColumn id="29" xr3:uid="{C04A3C32-E716-4FEE-BEEE-B610FC835DBB}" name="CDS Payment Extracurricular" dataDxfId="19">
      <calculatedColumnFormula>ROUND((Table2[[#This Row],[2023-24 CDS Payment]]-Table2[[#This Row],[TO/FROM cds]]),0)-1</calculatedColumnFormula>
    </tableColumn>
    <tableColumn id="27" xr3:uid="{CDBD81E4-D1AD-4B1E-B210-43E7EABC4819}" name="EX CARRYOVER PRIOR TO ADJUSTMENT" dataDxfId="18"/>
    <tableColumn id="28" xr3:uid="{EAB1D1B7-BAC2-4A49-BBC5-0663F6C2C091}" name="EX Repurposed" dataDxfId="17"/>
    <tableColumn id="31" xr3:uid="{B015BA85-7EAA-49A7-B1C9-B83972D14C94}" name="EX REPURPOSED FOR EX" dataDxfId="16"/>
    <tableColumn id="26" xr3:uid="{14DC125A-CE83-4653-8303-F3309ABF8AFC}" name="Total EX Funds Available" dataDxfId="15">
      <calculatedColumnFormula>ROUND(SUM(Table2[[#This Row],[EX CARRYOVER PRIOR TO ADJUSTMENT]],Table2[[#This Row],[2023-24 EX Allocation]])-Table2[[#This Row],[EX Repurposed]],0)</calculatedColumnFormula>
    </tableColumn>
    <tableColumn id="15" xr3:uid="{31822519-650C-484E-9DEE-E3C0D6EFD91F}" name="2023-24 Revenue (and sources) for all operational costs  _x000a_For information_x000a_(Table 2A operating grant manual (Dec re-calc based on Sept 1701)" dataDxfId="14"/>
    <tableColumn id="16" xr3:uid="{81F936C1-9AD6-49BB-A9CE-A9B499EFC3A1}" name="Student Transportation Fund" dataDxfId="13"/>
    <tableColumn id="17" xr3:uid="{224EBF56-3AFA-4396-84A9-D14FA4EFC687}" name="Student Location Factor" dataDxfId="12"/>
    <tableColumn id="18" xr3:uid="{CA19FD18-9D37-4930-9E48-F884B4FBFDFA}" name="Supplemental_x000a_Student Location_x000a_Factor Funding" dataDxfId="11"/>
    <tableColumn id="34" xr3:uid="{471CC2E8-EF0F-4EB3-977E-76F733A6AE70}" name="ex Repurposed to TO/FROM" dataDxfId="10"/>
    <tableColumn id="19" xr3:uid="{47FE7D07-19BC-4BE1-A8C7-9AE59B524368}" name="TO/FROM cds" dataDxfId="9">
      <calculatedColumnFormula>ROUND(IF(Table2[[#This Row],[2023-24 BCTEA Approved]]-Table2[[#This Row],[2022-23 BCTEA To/from Carryover]]-Table2[[#This Row],[ex Repurposed to TO/FROM]]&gt;0,Table2[[#This Row],[2023-24 BCTEA Approved]]-Table2[[#This Row],[2022-23 BCTEA To/from Carryover]]-Table2[[#This Row],[ex Repurposed to TO/FROM]], "$0"),0)</calculatedColumnFormula>
    </tableColumn>
    <tableColumn id="20" xr3:uid="{BCB8D8F5-D3B2-4E31-8585-1E1F869E1099}" name="Student Count as per 2022-23 Nominal Roll" dataDxfId="8"/>
    <tableColumn id="21" xr3:uid="{5D3B8994-282B-46DA-AA8B-B4F1620A6F48}" name="FN_STF" dataDxfId="7"/>
    <tableColumn id="22" xr3:uid="{29E80CFA-4607-4051-BD35-139F01CFBB7B}" name="FN_SLF" dataDxfId="6"/>
    <tableColumn id="23" xr3:uid="{92CFACFB-A034-41CE-9A81-B7F5B708715C}" name="FN_SSLF" dataDxfId="5"/>
    <tableColumn id="24" xr3:uid="{6539D41A-7033-47AA-A03F-0C0F1FFCA1C4}" name="FN_SR" dataDxfId="4"/>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4-01-04T22:33:57.48" personId="{1A098D37-6EE9-44C6-9C66-A5E9E664FBCF}" id="{600A3519-98FF-412C-B16D-5AABC793DD36}">
    <text xml:space="preserve">Update point 2?
</text>
  </threadedComment>
  <threadedComment ref="B35" dT="2024-01-11T20:06:33.93" personId="{1A098D37-6EE9-44C6-9C66-A5E9E664FBCF}" id="{11C3F42A-EA35-4E28-9E9D-17B83280DB3C}">
    <text>Update Link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2.gov.bc.ca/assets/gov/education/administration/resource-management/k12funding/21-22/21-22-operating-grants-manual.pdf" TargetMode="External"/><Relationship Id="rId7" Type="http://schemas.openxmlformats.org/officeDocument/2006/relationships/vmlDrawing" Target="../drawings/vmlDrawing1.vml"/><Relationship Id="rId2" Type="http://schemas.openxmlformats.org/officeDocument/2006/relationships/hyperlink" Target="https://www2.gov.bc.ca/gov/content/education-training/k-12/administration/resource-management/k-12-funding-and-allocation/operating-grants/k12funding-22-23" TargetMode="External"/><Relationship Id="rId1" Type="http://schemas.openxmlformats.org/officeDocument/2006/relationships/hyperlink" Target="https://www2.gov.bc.ca/assets/gov/education/administration/resource-management/k12funding/22-23/22-23-operating-grants-manual.pdf"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2.gov.bc.ca/assets/gov/education/administration/resource-management/k12funding/23-24/23-24-operating-grants-manual.pdf"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2.gov.bc.ca/assets/gov/education/administration/resource-management/k12funding/21-22/21-22-operating-grants-manual.pdf" TargetMode="External"/><Relationship Id="rId7" Type="http://schemas.openxmlformats.org/officeDocument/2006/relationships/drawing" Target="../drawings/drawing2.xml"/><Relationship Id="rId2" Type="http://schemas.openxmlformats.org/officeDocument/2006/relationships/hyperlink" Target="https://www2.gov.bc.ca/gov/content/education-training/k-12/administration/resource-management/k-12-funding-and-allocation/operating-grants/k12funding-22-23" TargetMode="External"/><Relationship Id="rId1" Type="http://schemas.openxmlformats.org/officeDocument/2006/relationships/hyperlink" Target="https://www2.gov.bc.ca/assets/gov/education/administration/resource-management/k12funding/22-23/22-23-operating-grants-manual.pdf" TargetMode="External"/><Relationship Id="rId6" Type="http://schemas.openxmlformats.org/officeDocument/2006/relationships/printerSettings" Target="../printerSettings/printerSettings3.bin"/><Relationship Id="rId5" Type="http://schemas.openxmlformats.org/officeDocument/2006/relationships/hyperlink" Target="https://www2.gov.bc.ca/assets/gov/education/administration/resource-management/k12funding/22-23/22-23-operating-grants-manual.pdf" TargetMode="External"/><Relationship Id="rId10" Type="http://schemas.microsoft.com/office/2017/10/relationships/threadedComment" Target="../threadedComments/threadedComment1.xml"/><Relationship Id="rId4" Type="http://schemas.openxmlformats.org/officeDocument/2006/relationships/hyperlink" Target="https://www2.gov.bc.ca/assets/gov/education/administration/resource-management/school-district-financial-reporting/lea-isc-sg/2022-23_first_nation_student_rates.pdf"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752E-2CEE-4918-88DB-9DA26AEB4E1F}">
  <dimension ref="A1:H26"/>
  <sheetViews>
    <sheetView showGridLines="0" workbookViewId="0">
      <selection activeCell="J9" sqref="J9"/>
    </sheetView>
  </sheetViews>
  <sheetFormatPr defaultRowHeight="14.4" x14ac:dyDescent="0.3"/>
  <cols>
    <col min="1" max="1" width="35.6640625" customWidth="1"/>
    <col min="2" max="2" width="36.88671875" style="5" customWidth="1"/>
    <col min="3" max="3" width="17" customWidth="1"/>
    <col min="6" max="6" width="9.109375" customWidth="1"/>
  </cols>
  <sheetData>
    <row r="1" spans="1:8" ht="43.95" customHeight="1" x14ac:dyDescent="0.45">
      <c r="A1" s="165" t="s">
        <v>369</v>
      </c>
      <c r="B1" s="166"/>
      <c r="C1" s="166"/>
    </row>
    <row r="2" spans="1:8" ht="1.2" customHeight="1" thickBot="1" x14ac:dyDescent="0.35"/>
    <row r="3" spans="1:8" ht="75.599999999999994" customHeight="1" thickBot="1" x14ac:dyDescent="0.35">
      <c r="A3" s="162" t="s">
        <v>327</v>
      </c>
      <c r="B3" s="163"/>
      <c r="C3" s="164"/>
    </row>
    <row r="4" spans="1:8" ht="17.399999999999999" customHeight="1" thickBot="1" x14ac:dyDescent="0.35">
      <c r="A4" s="69"/>
      <c r="B4" s="69"/>
      <c r="H4" s="92"/>
    </row>
    <row r="5" spans="1:8" ht="37.950000000000003" customHeight="1" thickBot="1" x14ac:dyDescent="0.35">
      <c r="A5" s="89"/>
      <c r="B5" s="90"/>
      <c r="C5" s="91"/>
    </row>
    <row r="6" spans="1:8" ht="30" customHeight="1" thickBot="1" x14ac:dyDescent="0.35">
      <c r="A6" s="95" t="s">
        <v>361</v>
      </c>
      <c r="B6" s="94" t="s">
        <v>358</v>
      </c>
      <c r="C6" s="96" t="s">
        <v>359</v>
      </c>
    </row>
    <row r="8" spans="1:8" ht="15" thickBot="1" x14ac:dyDescent="0.35"/>
    <row r="9" spans="1:8" ht="42.6" customHeight="1" thickBot="1" x14ac:dyDescent="0.35">
      <c r="A9" s="89"/>
      <c r="B9" s="90"/>
      <c r="C9" s="91"/>
    </row>
    <row r="10" spans="1:8" ht="34.950000000000003" customHeight="1" thickBot="1" x14ac:dyDescent="0.35">
      <c r="A10" s="95" t="s">
        <v>322</v>
      </c>
      <c r="B10" s="94" t="s">
        <v>360</v>
      </c>
      <c r="C10" s="96" t="s">
        <v>359</v>
      </c>
    </row>
    <row r="12" spans="1:8" ht="15" thickBot="1" x14ac:dyDescent="0.35"/>
    <row r="13" spans="1:8" ht="42.6" customHeight="1" thickBot="1" x14ac:dyDescent="0.35">
      <c r="A13" s="89"/>
      <c r="B13" s="90"/>
      <c r="C13" s="91"/>
    </row>
    <row r="14" spans="1:8" ht="31.8" thickBot="1" x14ac:dyDescent="0.35">
      <c r="A14" s="95" t="s">
        <v>322</v>
      </c>
      <c r="B14" s="94" t="s">
        <v>360</v>
      </c>
      <c r="C14" s="96" t="s">
        <v>359</v>
      </c>
    </row>
    <row r="16" spans="1:8" ht="15" thickBot="1" x14ac:dyDescent="0.35"/>
    <row r="17" spans="1:3" ht="42.6" customHeight="1" thickBot="1" x14ac:dyDescent="0.35">
      <c r="A17" s="89"/>
      <c r="B17" s="90"/>
      <c r="C17" s="91"/>
    </row>
    <row r="18" spans="1:3" ht="31.8" thickBot="1" x14ac:dyDescent="0.35">
      <c r="A18" s="95" t="s">
        <v>322</v>
      </c>
      <c r="B18" s="94" t="s">
        <v>360</v>
      </c>
      <c r="C18" s="96" t="s">
        <v>359</v>
      </c>
    </row>
    <row r="20" spans="1:3" ht="15" thickBot="1" x14ac:dyDescent="0.35"/>
    <row r="21" spans="1:3" ht="42.6" customHeight="1" thickBot="1" x14ac:dyDescent="0.35">
      <c r="A21" s="89"/>
      <c r="B21" s="90"/>
      <c r="C21" s="91"/>
    </row>
    <row r="22" spans="1:3" ht="31.8" thickBot="1" x14ac:dyDescent="0.35">
      <c r="A22" s="95" t="s">
        <v>322</v>
      </c>
      <c r="B22" s="94" t="s">
        <v>360</v>
      </c>
      <c r="C22" s="96" t="s">
        <v>359</v>
      </c>
    </row>
    <row r="24" spans="1:3" ht="15" thickBot="1" x14ac:dyDescent="0.35"/>
    <row r="25" spans="1:3" ht="42.6" customHeight="1" thickBot="1" x14ac:dyDescent="0.35">
      <c r="A25" s="89"/>
      <c r="B25" s="90"/>
      <c r="C25" s="91"/>
    </row>
    <row r="26" spans="1:3" ht="31.8" thickBot="1" x14ac:dyDescent="0.35">
      <c r="A26" s="95" t="s">
        <v>322</v>
      </c>
      <c r="B26" s="94" t="s">
        <v>360</v>
      </c>
      <c r="C26" s="96" t="s">
        <v>359</v>
      </c>
    </row>
  </sheetData>
  <mergeCells count="2">
    <mergeCell ref="A3:C3"/>
    <mergeCell ref="A1:C1"/>
  </mergeCells>
  <pageMargins left="0.11811023622047245" right="0.11811023622047245" top="0.35433070866141736" bottom="0.15748031496062992" header="0.31496062992125984" footer="0.11811023622047245"/>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5A64-6F31-40BD-A82E-612E66F40EED}">
  <dimension ref="A1:L99"/>
  <sheetViews>
    <sheetView tabSelected="1" zoomScale="140" zoomScaleNormal="140" workbookViewId="0">
      <selection activeCell="A40" sqref="A40:G40"/>
    </sheetView>
  </sheetViews>
  <sheetFormatPr defaultColWidth="9.109375" defaultRowHeight="14.4" x14ac:dyDescent="0.3"/>
  <cols>
    <col min="1" max="1" width="7" style="15" customWidth="1"/>
    <col min="2" max="2" width="55.88671875" style="15" customWidth="1"/>
    <col min="3" max="3" width="15.109375" style="58" customWidth="1"/>
    <col min="4" max="4" width="17.6640625" style="58" customWidth="1"/>
    <col min="5" max="5" width="16.6640625" style="58" customWidth="1"/>
    <col min="6" max="6" width="16.88671875" style="58" customWidth="1"/>
    <col min="7" max="7" width="17" style="15" customWidth="1"/>
    <col min="8" max="8" width="19.44140625" style="15" customWidth="1"/>
    <col min="9" max="9" width="45" style="15" customWidth="1"/>
    <col min="10" max="10" width="32" style="15" customWidth="1"/>
    <col min="11" max="11" width="18.33203125" style="15" customWidth="1"/>
    <col min="12" max="16384" width="9.109375" style="15"/>
  </cols>
  <sheetData>
    <row r="1" spans="1:10" ht="43.2" customHeight="1" x14ac:dyDescent="0.3">
      <c r="A1" s="14"/>
      <c r="B1" s="14"/>
      <c r="C1" s="170" t="s">
        <v>370</v>
      </c>
      <c r="D1" s="170"/>
      <c r="E1" s="170"/>
      <c r="F1" s="170"/>
      <c r="G1" s="170"/>
      <c r="H1" s="170"/>
      <c r="I1" s="5" t="s">
        <v>0</v>
      </c>
    </row>
    <row r="2" spans="1:10" ht="40.200000000000003" customHeight="1" x14ac:dyDescent="0.3">
      <c r="A2" s="171" t="s">
        <v>495</v>
      </c>
      <c r="B2" s="171"/>
      <c r="C2" s="171"/>
      <c r="D2" s="171"/>
      <c r="E2" s="171"/>
      <c r="F2" s="171"/>
      <c r="G2" s="171"/>
      <c r="H2" s="171"/>
      <c r="I2" s="5" t="s">
        <v>0</v>
      </c>
      <c r="J2" s="15" t="s">
        <v>0</v>
      </c>
    </row>
    <row r="3" spans="1:10" ht="33" customHeight="1" x14ac:dyDescent="0.3">
      <c r="A3" s="172" t="s">
        <v>372</v>
      </c>
      <c r="B3" s="172"/>
      <c r="C3" s="172"/>
      <c r="D3" s="172"/>
      <c r="E3" s="172"/>
      <c r="F3" s="172"/>
      <c r="G3" s="172"/>
      <c r="H3" s="172"/>
    </row>
    <row r="4" spans="1:10" ht="18.75" customHeight="1" x14ac:dyDescent="0.3">
      <c r="A4" s="18" t="s">
        <v>3</v>
      </c>
      <c r="B4" s="18"/>
      <c r="C4" s="19"/>
      <c r="D4" s="20" t="s">
        <v>2</v>
      </c>
      <c r="E4" s="21"/>
      <c r="F4" s="22"/>
      <c r="G4" s="17"/>
      <c r="H4" s="17"/>
    </row>
    <row r="5" spans="1:10" ht="18.75" customHeight="1" x14ac:dyDescent="0.3">
      <c r="A5" s="18" t="s">
        <v>371</v>
      </c>
      <c r="B5" s="18"/>
      <c r="C5" s="16"/>
      <c r="D5" s="16"/>
      <c r="E5" s="17"/>
      <c r="F5" s="17"/>
      <c r="G5" s="17"/>
      <c r="H5" s="17"/>
    </row>
    <row r="6" spans="1:10" ht="47.25" customHeight="1" x14ac:dyDescent="0.3">
      <c r="A6" s="18"/>
      <c r="B6" s="173" t="s">
        <v>345</v>
      </c>
      <c r="C6" s="174"/>
      <c r="D6" s="60"/>
      <c r="E6" s="79" t="str">
        <f>IFERROR(INDEX(Table2[School District], MATCH($D$6,Table2[SD Number], 0)), "Please select School District number.")</f>
        <v>Please select School District number.</v>
      </c>
      <c r="F6" s="80"/>
      <c r="G6" s="23"/>
      <c r="H6" s="17"/>
      <c r="J6" s="24"/>
    </row>
    <row r="7" spans="1:10" ht="36" customHeight="1" x14ac:dyDescent="0.3">
      <c r="A7" s="18"/>
      <c r="B7" s="74"/>
      <c r="C7" s="77"/>
      <c r="D7" s="82" t="s">
        <v>373</v>
      </c>
      <c r="E7" s="82" t="s">
        <v>374</v>
      </c>
      <c r="F7" s="80" t="s">
        <v>344</v>
      </c>
      <c r="G7" s="23"/>
      <c r="H7" s="17"/>
      <c r="J7" s="24"/>
    </row>
    <row r="8" spans="1:10" ht="46.5" customHeight="1" x14ac:dyDescent="0.3">
      <c r="A8" s="25"/>
      <c r="B8" s="173" t="s">
        <v>391</v>
      </c>
      <c r="C8" s="174"/>
      <c r="D8" s="98"/>
      <c r="E8" s="87" t="str">
        <f>IFERROR(INDEX(Table2[2022-23 Reported BC Residents Requiring Transportation], MATCH($D$6,Table2[SD Number], 0)), "Select SD# Above")</f>
        <v>Select SD# Above</v>
      </c>
      <c r="F8" s="88" t="str">
        <f t="shared" ref="F8" si="0">IFERROR(SUM(D8-E8)/E8,"amount will autocalculate")</f>
        <v>amount will autocalculate</v>
      </c>
      <c r="G8" s="17"/>
      <c r="H8" s="17"/>
    </row>
    <row r="9" spans="1:10" ht="31.5" customHeight="1" x14ac:dyDescent="0.3">
      <c r="A9" s="25"/>
      <c r="B9" s="173" t="s">
        <v>493</v>
      </c>
      <c r="C9" s="173"/>
      <c r="D9" s="99"/>
      <c r="E9" s="87" t="str">
        <f>IFERROR(INDEX(Table2[2022-23 Reported Nominal Roll Students Requiring Transportation], MATCH($D$6,Table2[SD Number], 0)), "Select SD# Above")</f>
        <v>Select SD# Above</v>
      </c>
      <c r="F9" s="88" t="str">
        <f>IFERROR(SUM(D9-E9)/E9,"amount will autocalculate")</f>
        <v>amount will autocalculate</v>
      </c>
      <c r="G9" s="17"/>
      <c r="H9" s="17"/>
    </row>
    <row r="10" spans="1:10" ht="25.5" customHeight="1" x14ac:dyDescent="0.3">
      <c r="A10" s="25"/>
      <c r="B10" s="25"/>
      <c r="C10" s="16"/>
      <c r="D10" s="84" t="s">
        <v>355</v>
      </c>
      <c r="E10" s="17"/>
      <c r="F10" s="17"/>
      <c r="G10" s="17"/>
      <c r="H10" s="17"/>
      <c r="J10" s="2"/>
    </row>
    <row r="11" spans="1:10" ht="10.5" customHeight="1" x14ac:dyDescent="0.3">
      <c r="A11" s="44"/>
      <c r="B11" s="44"/>
      <c r="C11" s="44"/>
      <c r="D11" s="44"/>
      <c r="E11" s="44"/>
      <c r="F11" s="44"/>
      <c r="G11" s="44"/>
      <c r="H11" s="44"/>
      <c r="J11" s="2"/>
    </row>
    <row r="12" spans="1:10" ht="61.95" customHeight="1" x14ac:dyDescent="0.3">
      <c r="A12" s="175" t="s">
        <v>363</v>
      </c>
      <c r="B12" s="175"/>
      <c r="C12" s="175"/>
      <c r="D12" s="175"/>
      <c r="E12" s="175"/>
      <c r="F12" s="175"/>
      <c r="G12" s="175"/>
      <c r="H12" s="175"/>
      <c r="I12" s="15" t="s">
        <v>0</v>
      </c>
    </row>
    <row r="13" spans="1:10" ht="24.6" customHeight="1" x14ac:dyDescent="0.3">
      <c r="A13" s="167"/>
      <c r="B13" s="168"/>
      <c r="C13" s="168"/>
      <c r="D13" s="168"/>
      <c r="E13" s="168"/>
      <c r="F13" s="168"/>
      <c r="G13" s="169"/>
      <c r="H13" s="17"/>
    </row>
    <row r="14" spans="1:10" ht="24.6" customHeight="1" x14ac:dyDescent="0.3">
      <c r="A14" s="167"/>
      <c r="B14" s="168"/>
      <c r="C14" s="168"/>
      <c r="D14" s="168"/>
      <c r="E14" s="168"/>
      <c r="F14" s="168"/>
      <c r="G14" s="169"/>
      <c r="H14" s="17"/>
      <c r="I14" s="15" t="s">
        <v>0</v>
      </c>
    </row>
    <row r="15" spans="1:10" ht="24.75" customHeight="1" x14ac:dyDescent="0.3">
      <c r="A15" s="167"/>
      <c r="B15" s="168"/>
      <c r="C15" s="168"/>
      <c r="D15" s="168"/>
      <c r="E15" s="168"/>
      <c r="F15" s="168"/>
      <c r="G15" s="169"/>
      <c r="H15" s="17"/>
    </row>
    <row r="16" spans="1:10" ht="24.75" customHeight="1" x14ac:dyDescent="0.3">
      <c r="A16" s="167"/>
      <c r="B16" s="168"/>
      <c r="C16" s="168"/>
      <c r="D16" s="168"/>
      <c r="E16" s="168"/>
      <c r="F16" s="168"/>
      <c r="G16" s="169"/>
      <c r="H16" s="17"/>
    </row>
    <row r="17" spans="1:11" ht="24.75" customHeight="1" x14ac:dyDescent="0.3">
      <c r="A17" s="167"/>
      <c r="B17" s="168"/>
      <c r="C17" s="168"/>
      <c r="D17" s="168"/>
      <c r="E17" s="168"/>
      <c r="F17" s="168"/>
      <c r="G17" s="169"/>
      <c r="H17" s="17"/>
    </row>
    <row r="18" spans="1:11" ht="24.75" customHeight="1" x14ac:dyDescent="0.3">
      <c r="A18" s="167"/>
      <c r="B18" s="168"/>
      <c r="C18" s="168"/>
      <c r="D18" s="168"/>
      <c r="E18" s="168"/>
      <c r="F18" s="168"/>
      <c r="G18" s="169"/>
      <c r="H18" s="17"/>
    </row>
    <row r="19" spans="1:11" ht="24.75" customHeight="1" x14ac:dyDescent="0.3">
      <c r="A19" s="167"/>
      <c r="B19" s="168"/>
      <c r="C19" s="168"/>
      <c r="D19" s="168"/>
      <c r="E19" s="168"/>
      <c r="F19" s="168"/>
      <c r="G19" s="169"/>
      <c r="H19" s="17"/>
    </row>
    <row r="20" spans="1:11" ht="24.75" customHeight="1" x14ac:dyDescent="0.3">
      <c r="A20" s="167"/>
      <c r="B20" s="168"/>
      <c r="C20" s="168"/>
      <c r="D20" s="168"/>
      <c r="E20" s="168"/>
      <c r="F20" s="168"/>
      <c r="G20" s="169"/>
      <c r="H20" s="17"/>
    </row>
    <row r="21" spans="1:11" ht="24.75" customHeight="1" x14ac:dyDescent="0.3">
      <c r="A21" s="167"/>
      <c r="B21" s="168"/>
      <c r="C21" s="168"/>
      <c r="D21" s="168"/>
      <c r="E21" s="168"/>
      <c r="F21" s="168"/>
      <c r="G21" s="169"/>
      <c r="H21" s="17"/>
    </row>
    <row r="22" spans="1:11" ht="24.75" customHeight="1" x14ac:dyDescent="0.3">
      <c r="A22" s="177"/>
      <c r="B22" s="177"/>
      <c r="C22" s="177"/>
      <c r="D22" s="177"/>
      <c r="E22" s="177"/>
      <c r="F22" s="177"/>
      <c r="G22" s="178"/>
      <c r="H22" s="17"/>
    </row>
    <row r="23" spans="1:11" ht="12.75" customHeight="1" x14ac:dyDescent="0.3">
      <c r="A23" s="44"/>
      <c r="B23" s="44"/>
      <c r="C23" s="44"/>
      <c r="D23" s="44"/>
      <c r="E23" s="44"/>
      <c r="F23" s="44"/>
      <c r="G23" s="44"/>
      <c r="H23" s="44"/>
    </row>
    <row r="24" spans="1:11" ht="104.4" customHeight="1" x14ac:dyDescent="0.3">
      <c r="A24" s="175" t="s">
        <v>380</v>
      </c>
      <c r="B24" s="175"/>
      <c r="C24" s="175"/>
      <c r="D24" s="175"/>
      <c r="E24" s="175"/>
      <c r="F24" s="85"/>
      <c r="G24" s="85"/>
      <c r="H24" s="85"/>
      <c r="I24" s="69"/>
      <c r="J24" s="4" t="s">
        <v>0</v>
      </c>
      <c r="K24" s="30" t="s">
        <v>0</v>
      </c>
    </row>
    <row r="25" spans="1:11" ht="33" customHeight="1" x14ac:dyDescent="0.3">
      <c r="A25" s="31"/>
      <c r="B25" s="182" t="s">
        <v>399</v>
      </c>
      <c r="C25" s="183"/>
      <c r="D25" s="183"/>
      <c r="E25" s="62"/>
      <c r="F25" s="62" t="s">
        <v>0</v>
      </c>
      <c r="G25" s="62" t="str">
        <f>IFERROR(INDEX(Table2[Student Count as per 2022-23 Nominal Roll], MATCH($D$6,Table2[SD Number], 0)), "Select SD# Above")</f>
        <v>Select SD# Above</v>
      </c>
      <c r="H25" s="62"/>
      <c r="I25" s="69"/>
      <c r="J25" s="4"/>
      <c r="K25" s="30"/>
    </row>
    <row r="26" spans="1:11" ht="33" customHeight="1" x14ac:dyDescent="0.3">
      <c r="A26" s="31"/>
      <c r="B26" s="184" t="s">
        <v>381</v>
      </c>
      <c r="C26" s="184"/>
      <c r="D26" s="184"/>
      <c r="E26" s="70"/>
      <c r="F26" s="62" t="s">
        <v>0</v>
      </c>
      <c r="G26" s="62" t="str">
        <f>IFERROR(INDEX(Table2[FN_SR], MATCH($D$6,Table2[SD Number], 0)), "Select SD# Above")</f>
        <v>Select SD# Above</v>
      </c>
      <c r="H26" s="76" t="s">
        <v>0</v>
      </c>
      <c r="I26" s="69"/>
      <c r="J26" s="78"/>
      <c r="K26" s="30"/>
    </row>
    <row r="27" spans="1:11" ht="30" customHeight="1" x14ac:dyDescent="0.3">
      <c r="A27" s="31"/>
      <c r="B27" s="185" t="s">
        <v>494</v>
      </c>
      <c r="C27" s="185"/>
      <c r="D27" s="185"/>
      <c r="E27" s="185"/>
      <c r="F27" s="185"/>
      <c r="G27" s="81" t="str">
        <f>IFERROR(G25*G26,"Select SD# Above")</f>
        <v>Select SD# Above</v>
      </c>
      <c r="H27" s="81" t="s">
        <v>0</v>
      </c>
      <c r="I27" s="69" t="s">
        <v>0</v>
      </c>
      <c r="J27" s="4"/>
      <c r="K27" s="30"/>
    </row>
    <row r="28" spans="1:11" ht="13.5" customHeight="1" x14ac:dyDescent="0.3">
      <c r="A28" s="44"/>
      <c r="B28" s="44"/>
      <c r="C28" s="44"/>
      <c r="D28" s="44"/>
      <c r="E28" s="44"/>
      <c r="F28" s="44"/>
      <c r="G28" s="44"/>
      <c r="H28" s="44"/>
      <c r="I28" s="69"/>
      <c r="J28" s="4"/>
      <c r="K28" s="30"/>
    </row>
    <row r="29" spans="1:11" ht="161.4" customHeight="1" x14ac:dyDescent="0.3">
      <c r="A29" s="186" t="s">
        <v>342</v>
      </c>
      <c r="B29" s="186"/>
      <c r="C29" s="187"/>
      <c r="D29" s="27" t="s">
        <v>377</v>
      </c>
      <c r="E29" s="27" t="s">
        <v>378</v>
      </c>
      <c r="F29" s="28" t="s">
        <v>379</v>
      </c>
      <c r="G29" s="28" t="s">
        <v>389</v>
      </c>
      <c r="H29" s="29" t="s">
        <v>390</v>
      </c>
      <c r="I29" s="97" t="s">
        <v>0</v>
      </c>
      <c r="K29" s="30"/>
    </row>
    <row r="30" spans="1:11" ht="19.5" customHeight="1" x14ac:dyDescent="0.3">
      <c r="A30" s="31"/>
      <c r="B30" s="32" t="s">
        <v>1</v>
      </c>
      <c r="C30" s="33"/>
      <c r="D30" s="33"/>
      <c r="E30" s="33"/>
      <c r="F30" s="34"/>
      <c r="G30" s="34"/>
      <c r="H30" s="35"/>
      <c r="K30" s="3" t="s">
        <v>0</v>
      </c>
    </row>
    <row r="31" spans="1:11" ht="27" customHeight="1" x14ac:dyDescent="0.3">
      <c r="A31" s="31"/>
      <c r="B31" s="119" t="s">
        <v>4</v>
      </c>
      <c r="C31" s="36"/>
      <c r="D31" s="156" t="str">
        <f>IFERROR(INDEX(Table2[2023-24 Revenue (and sources) for all operational costs  
For information
(Table 2A operating grant manual (Dec re-calc based on Sept 1701)], MATCH($D$6,Table2[SD Number], 0)), "Select SD# Above")</f>
        <v>Select SD# Above</v>
      </c>
      <c r="E31" s="156" t="str">
        <f>IFERROR(INDEX(Table2[2022-23 Actual Student Transportation spending
 (June 30, 2022 audited financial statement)
(all students)], MATCH($D$6,Table2[SD Number], 0)), "Select SD# Above")</f>
        <v>Select SD# Above</v>
      </c>
      <c r="F31" s="156" t="str">
        <f>IFERROR(INDEX(Table2[2022-23 First Nation Students living on reserve  Transportation spending 
(school district reported) to June 30, 2022) ], MATCH($D$6,Table2[SD Number], 0)), "Select SD# Above")</f>
        <v>Select SD# Above</v>
      </c>
      <c r="G31" s="156" t="str">
        <f>IFERROR(INDEX(Table2[2023/24 Amended budget
Student Transportation to Jun 30, 2024 as of Feb 29, 2024 
(all students)], MATCH($D$6,Table2[SD Number], 0)), "Select SD# Above")</f>
        <v>Select SD# Above</v>
      </c>
      <c r="H31" s="100"/>
      <c r="I31" s="176" t="s">
        <v>0</v>
      </c>
      <c r="J31" s="176"/>
      <c r="K31" s="3" t="s">
        <v>0</v>
      </c>
    </row>
    <row r="32" spans="1:11" ht="30.75" customHeight="1" x14ac:dyDescent="0.3">
      <c r="A32" s="31"/>
      <c r="B32" s="37" t="s">
        <v>343</v>
      </c>
      <c r="C32" s="36"/>
      <c r="D32" s="36"/>
      <c r="E32" s="36"/>
      <c r="F32" s="10"/>
      <c r="G32" s="38"/>
      <c r="H32" s="38"/>
      <c r="I32" s="176"/>
      <c r="J32" s="176"/>
      <c r="K32" s="3" t="s">
        <v>0</v>
      </c>
    </row>
    <row r="33" spans="1:11" ht="20.25" customHeight="1" x14ac:dyDescent="0.3">
      <c r="A33" s="31"/>
      <c r="B33" s="188" t="s">
        <v>356</v>
      </c>
      <c r="C33" s="188"/>
      <c r="D33" s="63" t="str">
        <f>IFERROR(INDEX(Table2[Student Location Factor], MATCH($D$6,Table2[SD Number], 0)), "Select SD# Above")</f>
        <v>Select SD# Above</v>
      </c>
      <c r="E33" s="36"/>
      <c r="F33" s="10"/>
      <c r="G33" s="38"/>
      <c r="H33" s="38"/>
      <c r="I33" s="15" t="s">
        <v>0</v>
      </c>
      <c r="K33" s="3"/>
    </row>
    <row r="34" spans="1:11" ht="18.75" customHeight="1" x14ac:dyDescent="0.3">
      <c r="A34" s="31"/>
      <c r="B34" s="120" t="s">
        <v>357</v>
      </c>
      <c r="C34" s="121"/>
      <c r="D34" s="63" t="str">
        <f>IFERROR(INDEX(Table2[Supplemental
Student Location
Factor Funding], MATCH($D$6,Table2[SD Number], 0)), "Select SD# Above")</f>
        <v>Select SD# Above</v>
      </c>
      <c r="E34" s="68"/>
      <c r="F34" s="11"/>
      <c r="G34" s="38"/>
      <c r="H34" s="38"/>
      <c r="I34" s="15" t="s">
        <v>0</v>
      </c>
      <c r="K34" s="3" t="s">
        <v>0</v>
      </c>
    </row>
    <row r="35" spans="1:11" ht="28.2" customHeight="1" x14ac:dyDescent="0.3">
      <c r="A35" s="31"/>
      <c r="B35" s="75" t="s">
        <v>36</v>
      </c>
      <c r="C35" s="123"/>
      <c r="D35" s="63" t="str">
        <f>IFERROR(INDEX(Table2[Student Transportation Fund], MATCH($D$6,Table2[SD Number], 0)), "Select SD# Above")</f>
        <v>Select SD# Above</v>
      </c>
      <c r="E35" s="36"/>
      <c r="F35" s="10"/>
      <c r="G35" s="38"/>
      <c r="H35" s="100"/>
      <c r="I35" s="15" t="s">
        <v>0</v>
      </c>
      <c r="K35" s="15" t="s">
        <v>0</v>
      </c>
    </row>
    <row r="36" spans="1:11" ht="28.2" customHeight="1" x14ac:dyDescent="0.3">
      <c r="A36" s="31"/>
      <c r="B36" s="75" t="s">
        <v>43</v>
      </c>
      <c r="C36" s="36"/>
      <c r="D36" s="100"/>
      <c r="E36" s="36"/>
      <c r="F36" s="10"/>
      <c r="G36" s="38"/>
      <c r="H36" s="100">
        <f>D36</f>
        <v>0</v>
      </c>
    </row>
    <row r="37" spans="1:11" ht="28.2" customHeight="1" x14ac:dyDescent="0.3">
      <c r="A37" s="31"/>
      <c r="B37" s="39" t="s">
        <v>260</v>
      </c>
      <c r="C37" s="36"/>
      <c r="D37" s="41">
        <f>SUM(D31,D35,D36)</f>
        <v>0</v>
      </c>
      <c r="E37" s="36"/>
      <c r="F37" s="40"/>
      <c r="G37" s="42" t="s">
        <v>0</v>
      </c>
      <c r="H37" s="41">
        <f>SUM(H31+H35+H36)</f>
        <v>0</v>
      </c>
      <c r="K37" s="43" t="s">
        <v>0</v>
      </c>
    </row>
    <row r="38" spans="1:11" ht="15" customHeight="1" x14ac:dyDescent="0.3">
      <c r="A38" s="44"/>
      <c r="B38" s="44"/>
      <c r="C38" s="44"/>
      <c r="D38" s="44"/>
      <c r="E38" s="44"/>
      <c r="F38" s="44"/>
      <c r="G38" s="44"/>
      <c r="H38" s="44"/>
    </row>
    <row r="39" spans="1:11" ht="42" customHeight="1" x14ac:dyDescent="0.3">
      <c r="A39" s="189" t="s">
        <v>365</v>
      </c>
      <c r="B39" s="189"/>
      <c r="C39" s="189"/>
      <c r="D39" s="189"/>
      <c r="E39" s="189"/>
      <c r="F39" s="189"/>
      <c r="G39" s="189"/>
      <c r="H39" s="31"/>
    </row>
    <row r="40" spans="1:11" ht="47.25" customHeight="1" x14ac:dyDescent="0.3">
      <c r="A40" s="190"/>
      <c r="B40" s="191"/>
      <c r="C40" s="191"/>
      <c r="D40" s="191"/>
      <c r="E40" s="191"/>
      <c r="F40" s="191"/>
      <c r="G40" s="192"/>
      <c r="H40" s="93" t="str">
        <f>IF(H37&gt;=G27,"Yes","No, please explain in space provided to left")</f>
        <v>No, please explain in space provided to left</v>
      </c>
    </row>
    <row r="41" spans="1:11" ht="11.25" customHeight="1" x14ac:dyDescent="0.3">
      <c r="A41" s="44"/>
      <c r="B41" s="44"/>
      <c r="C41" s="44"/>
      <c r="D41" s="44"/>
      <c r="E41" s="44"/>
      <c r="F41" s="44"/>
      <c r="G41" s="44"/>
      <c r="H41" s="44"/>
    </row>
    <row r="42" spans="1:11" ht="62.25" customHeight="1" x14ac:dyDescent="0.3">
      <c r="A42" s="175" t="s">
        <v>384</v>
      </c>
      <c r="B42" s="175"/>
      <c r="C42" s="51" t="s">
        <v>386</v>
      </c>
      <c r="D42" s="51" t="s">
        <v>382</v>
      </c>
      <c r="E42" s="51" t="s">
        <v>375</v>
      </c>
      <c r="F42" s="51" t="s">
        <v>376</v>
      </c>
      <c r="G42" s="51" t="s">
        <v>383</v>
      </c>
      <c r="H42" s="51" t="s">
        <v>387</v>
      </c>
      <c r="J42" s="2"/>
    </row>
    <row r="43" spans="1:11" ht="28.2" customHeight="1" x14ac:dyDescent="0.3">
      <c r="A43" s="17"/>
      <c r="B43" s="52" t="s">
        <v>37</v>
      </c>
      <c r="C43" s="61" t="str">
        <f>IFERROR(INDEX(Table2[2022-23 BCTEA To/from Carryover], MATCH($D$6,Table2[SD Number], 0)), "Select SD# Above")</f>
        <v>Select SD# Above</v>
      </c>
      <c r="D43" s="61" t="str">
        <f>IFERROR(INDEX(Table2[2023-24 BCTEA Approved], MATCH($D$6,Table2[SD Number], 0)), "Select SD# Above")</f>
        <v>Select SD# Above</v>
      </c>
      <c r="E43" s="61" t="str">
        <f>IFERROR(INDEX(Table2[TO/FROM cds], MATCH($D$6,Table2[SD Number], 0)), "Select SD# Above")</f>
        <v>Select SD# Above</v>
      </c>
      <c r="F43" s="53" t="str">
        <f>D43</f>
        <v>Select SD# Above</v>
      </c>
      <c r="G43" s="113"/>
      <c r="H43" s="160" t="e">
        <f>MAX(0,F43-G43)</f>
        <v>#VALUE!</v>
      </c>
      <c r="I43" s="15" t="s">
        <v>0</v>
      </c>
      <c r="J43" s="43"/>
    </row>
    <row r="44" spans="1:11" ht="28.2" customHeight="1" x14ac:dyDescent="0.3">
      <c r="A44" s="17"/>
      <c r="B44" s="52" t="s">
        <v>38</v>
      </c>
      <c r="C44" s="61" t="str">
        <f>IFERROR(INDEX(Table2[2022-23 BCTEA Shelter Carryover], MATCH($D$6,Table2[SD Number], 0)), "Select SD# Above")</f>
        <v>Select SD# Above</v>
      </c>
      <c r="D44" s="61">
        <v>0</v>
      </c>
      <c r="E44" s="61">
        <v>0</v>
      </c>
      <c r="F44" s="53">
        <f>SUM(C44, E44)</f>
        <v>0</v>
      </c>
      <c r="G44" s="113"/>
      <c r="H44" s="160">
        <f t="shared" ref="H44" si="1">MAX(0,F44-G44)</f>
        <v>0</v>
      </c>
    </row>
    <row r="45" spans="1:11" ht="28.2" customHeight="1" x14ac:dyDescent="0.3">
      <c r="A45" s="17"/>
      <c r="B45" s="52" t="s">
        <v>385</v>
      </c>
      <c r="C45" s="61" t="str">
        <f>IFERROR(INDEX(Table2[2022-23 BCTEA EX Carryover], MATCH($D$6,Table2[SD Number], 0)), "Select SD# Above")</f>
        <v>Select SD# Above</v>
      </c>
      <c r="D45" s="61" t="str">
        <f>IFERROR(INDEX(Table2[2023-24 EX Allocation], MATCH($D$6,Table2[SD Number], 0)), "Select SD# Above")</f>
        <v>Select SD# Above</v>
      </c>
      <c r="E45" s="61" t="str">
        <f>IFERROR(INDEX('Auto Populate Table'!P2:P62, MATCH($D$6,Table2[SD Number], 0)), "Select SD# Above")</f>
        <v>Select SD# Above</v>
      </c>
      <c r="F45" s="53" t="str">
        <f>IFERROR(INDEX(Table2[Total EX Funds Available], MATCH($D$6,Table2[SD Number], 0)), "Select SD# Above")</f>
        <v>Select SD# Above</v>
      </c>
      <c r="G45" s="113"/>
      <c r="H45" s="160" t="e">
        <f>MAX(0,F45-G45)</f>
        <v>#VALUE!</v>
      </c>
    </row>
    <row r="46" spans="1:11" ht="28.2" customHeight="1" x14ac:dyDescent="0.3">
      <c r="A46" s="17"/>
      <c r="B46" s="72" t="s">
        <v>5</v>
      </c>
      <c r="C46" s="71">
        <f t="shared" ref="C46:H46" si="2">SUM(C43:C45)</f>
        <v>0</v>
      </c>
      <c r="D46" s="71">
        <f>SUM(D43:D45)</f>
        <v>0</v>
      </c>
      <c r="E46" s="71">
        <f>SUM(E43:E45)</f>
        <v>0</v>
      </c>
      <c r="F46" s="71">
        <f t="shared" si="2"/>
        <v>0</v>
      </c>
      <c r="G46" s="71">
        <f t="shared" si="2"/>
        <v>0</v>
      </c>
      <c r="H46" s="161" t="e">
        <f t="shared" si="2"/>
        <v>#VALUE!</v>
      </c>
    </row>
    <row r="47" spans="1:11" ht="14.25" customHeight="1" x14ac:dyDescent="0.3">
      <c r="A47" s="73"/>
      <c r="B47" s="46"/>
      <c r="C47" s="47"/>
      <c r="D47" s="47"/>
      <c r="E47" s="47"/>
      <c r="F47" s="47"/>
      <c r="G47" s="48"/>
      <c r="H47" s="49"/>
      <c r="J47" s="50"/>
      <c r="K47" s="50"/>
    </row>
    <row r="48" spans="1:11" ht="28.95" customHeight="1" x14ac:dyDescent="0.3">
      <c r="A48" s="54" t="s">
        <v>388</v>
      </c>
      <c r="B48" s="55"/>
      <c r="C48" s="26"/>
      <c r="D48" s="26"/>
      <c r="E48" s="56"/>
      <c r="F48" s="56"/>
      <c r="G48" s="56"/>
      <c r="H48" s="57">
        <f>SUM($G$46, $H$37)</f>
        <v>0</v>
      </c>
    </row>
    <row r="49" spans="1:11" ht="14.25" customHeight="1" x14ac:dyDescent="0.3">
      <c r="A49" s="45"/>
      <c r="B49" s="46"/>
      <c r="C49" s="47"/>
      <c r="D49" s="47"/>
      <c r="E49" s="47"/>
      <c r="F49" s="47"/>
      <c r="G49" s="48"/>
      <c r="H49" s="49"/>
      <c r="J49" s="50"/>
      <c r="K49" s="50"/>
    </row>
    <row r="50" spans="1:11" ht="34.950000000000003" customHeight="1" x14ac:dyDescent="0.3">
      <c r="A50" s="175" t="s">
        <v>247</v>
      </c>
      <c r="B50" s="175"/>
      <c r="C50" s="175"/>
      <c r="D50" s="175"/>
      <c r="E50" s="175"/>
      <c r="F50" s="175"/>
      <c r="G50" s="175"/>
      <c r="H50" s="17"/>
      <c r="J50" s="15" t="s">
        <v>0</v>
      </c>
    </row>
    <row r="51" spans="1:11" ht="45.75" customHeight="1" x14ac:dyDescent="0.3">
      <c r="A51" s="179"/>
      <c r="B51" s="180"/>
      <c r="C51" s="180"/>
      <c r="D51" s="180"/>
      <c r="E51" s="180"/>
      <c r="F51" s="180"/>
      <c r="G51" s="181"/>
      <c r="H51" s="17"/>
      <c r="J51" s="15" t="s">
        <v>0</v>
      </c>
    </row>
    <row r="52" spans="1:11" ht="14.25" customHeight="1" x14ac:dyDescent="0.3">
      <c r="A52" s="45"/>
      <c r="B52" s="46"/>
      <c r="C52" s="47"/>
      <c r="D52" s="47"/>
      <c r="E52" s="47"/>
      <c r="F52" s="47"/>
      <c r="G52" s="48"/>
      <c r="H52" s="49"/>
      <c r="J52" s="50"/>
      <c r="K52" s="50"/>
    </row>
    <row r="53" spans="1:11" x14ac:dyDescent="0.3">
      <c r="A53" s="12"/>
      <c r="B53" s="12"/>
      <c r="C53" s="12"/>
      <c r="D53" s="12"/>
      <c r="E53" s="12"/>
      <c r="F53" s="12"/>
    </row>
    <row r="54" spans="1:11" ht="14.4" customHeight="1" x14ac:dyDescent="0.3">
      <c r="A54" s="12"/>
      <c r="E54" s="13"/>
      <c r="F54" s="13"/>
    </row>
    <row r="55" spans="1:11" ht="81.75" customHeight="1" x14ac:dyDescent="0.3">
      <c r="A55" s="12"/>
      <c r="B55" s="193"/>
      <c r="C55" s="193"/>
      <c r="D55" s="64"/>
      <c r="E55" s="193"/>
      <c r="F55" s="193"/>
      <c r="G55" s="193"/>
      <c r="H55" s="193"/>
      <c r="I55" s="15" t="s">
        <v>0</v>
      </c>
    </row>
    <row r="56" spans="1:11" x14ac:dyDescent="0.3">
      <c r="A56" s="12"/>
      <c r="C56" s="83"/>
      <c r="E56" s="194"/>
      <c r="F56" s="194"/>
      <c r="G56" s="194"/>
      <c r="H56" s="83"/>
    </row>
    <row r="57" spans="1:11" ht="14.4" customHeight="1" x14ac:dyDescent="0.3">
      <c r="A57" s="12"/>
      <c r="B57" s="13"/>
      <c r="C57" s="13"/>
      <c r="D57" s="13"/>
      <c r="E57" s="194"/>
      <c r="F57" s="194"/>
      <c r="G57" s="194"/>
      <c r="H57" s="13"/>
    </row>
    <row r="58" spans="1:11" ht="15" customHeight="1" x14ac:dyDescent="0.3">
      <c r="A58" s="12"/>
      <c r="B58" s="13"/>
      <c r="C58" s="13"/>
      <c r="D58" s="13" t="s">
        <v>0</v>
      </c>
      <c r="E58" s="13"/>
      <c r="F58" s="13"/>
      <c r="G58" s="13"/>
      <c r="H58" s="13"/>
      <c r="J58" s="15" t="s">
        <v>0</v>
      </c>
    </row>
    <row r="59" spans="1:11" ht="14.4" customHeight="1" x14ac:dyDescent="0.3">
      <c r="A59" s="12"/>
      <c r="B59" s="13"/>
      <c r="C59" s="13"/>
      <c r="D59" s="13"/>
      <c r="E59" s="13"/>
      <c r="F59" s="13"/>
      <c r="G59" s="13"/>
      <c r="H59" s="13"/>
    </row>
    <row r="60" spans="1:11" ht="14.4" customHeight="1" x14ac:dyDescent="0.3">
      <c r="A60" s="12"/>
      <c r="B60" s="13"/>
      <c r="C60" s="13"/>
      <c r="D60" s="13"/>
      <c r="E60" s="13"/>
      <c r="F60" s="13"/>
      <c r="G60" s="13"/>
      <c r="H60" s="13"/>
    </row>
    <row r="61" spans="1:11" x14ac:dyDescent="0.3">
      <c r="A61" s="12"/>
      <c r="B61" s="12"/>
      <c r="C61" s="12"/>
      <c r="D61" s="12"/>
      <c r="E61" s="12"/>
      <c r="F61" s="12"/>
      <c r="G61" s="12"/>
      <c r="H61" s="12"/>
    </row>
    <row r="62" spans="1:11" ht="15.6" x14ac:dyDescent="0.3">
      <c r="A62" s="12"/>
      <c r="B62" s="13"/>
      <c r="C62" s="13"/>
      <c r="D62" s="13" t="s">
        <v>0</v>
      </c>
      <c r="E62" s="13"/>
      <c r="F62" s="13"/>
      <c r="G62" s="13"/>
      <c r="H62" s="13"/>
    </row>
    <row r="63" spans="1:11" ht="15.6" x14ac:dyDescent="0.3">
      <c r="A63" s="12"/>
      <c r="B63" s="13"/>
      <c r="C63" s="13"/>
      <c r="D63" s="13" t="s">
        <v>0</v>
      </c>
      <c r="E63" s="13"/>
      <c r="F63" s="13"/>
      <c r="G63" s="13"/>
      <c r="H63" s="13"/>
    </row>
    <row r="64" spans="1:11" ht="15.6" x14ac:dyDescent="0.3">
      <c r="A64" s="12"/>
      <c r="B64" s="13"/>
      <c r="C64" s="13"/>
      <c r="D64" s="12"/>
      <c r="E64" s="13"/>
      <c r="F64" s="13"/>
      <c r="G64" s="13"/>
      <c r="H64" s="13"/>
    </row>
    <row r="65" spans="1:8" x14ac:dyDescent="0.3">
      <c r="A65" s="12"/>
      <c r="B65" s="12"/>
      <c r="C65" s="12"/>
      <c r="D65" s="12"/>
      <c r="E65" s="12"/>
      <c r="F65" s="12"/>
    </row>
    <row r="66" spans="1:8" ht="78.75" customHeight="1" x14ac:dyDescent="0.3">
      <c r="A66" s="12"/>
      <c r="B66" s="193"/>
      <c r="C66" s="193"/>
      <c r="D66" s="12"/>
      <c r="E66" s="193"/>
      <c r="F66" s="193"/>
      <c r="G66" s="193"/>
      <c r="H66" s="193"/>
    </row>
    <row r="67" spans="1:8" ht="15" customHeight="1" x14ac:dyDescent="0.3">
      <c r="A67" s="12"/>
      <c r="C67" s="83"/>
      <c r="D67" s="12"/>
      <c r="E67" s="194"/>
      <c r="F67" s="194"/>
      <c r="G67" s="194"/>
      <c r="H67" s="83"/>
    </row>
    <row r="68" spans="1:8" ht="15.6" x14ac:dyDescent="0.3">
      <c r="A68" s="12"/>
      <c r="B68" s="13"/>
      <c r="C68" s="13"/>
      <c r="D68" s="12"/>
      <c r="E68" s="194"/>
      <c r="F68" s="194"/>
      <c r="G68" s="194"/>
      <c r="H68" s="13"/>
    </row>
    <row r="69" spans="1:8" ht="15.6" x14ac:dyDescent="0.3">
      <c r="A69" s="12"/>
      <c r="B69" s="13"/>
      <c r="C69" s="13"/>
      <c r="D69" s="12"/>
      <c r="E69" s="13"/>
      <c r="F69" s="13"/>
      <c r="G69" s="13"/>
      <c r="H69" s="13"/>
    </row>
    <row r="70" spans="1:8" ht="15.6" x14ac:dyDescent="0.3">
      <c r="A70" s="12"/>
      <c r="B70" s="13"/>
      <c r="C70" s="13"/>
      <c r="D70" s="12"/>
      <c r="E70" s="13"/>
      <c r="F70" s="13"/>
      <c r="G70" s="13"/>
      <c r="H70" s="13"/>
    </row>
    <row r="71" spans="1:8" ht="15.6" x14ac:dyDescent="0.3">
      <c r="A71" s="12"/>
      <c r="B71" s="13"/>
      <c r="C71" s="13"/>
      <c r="D71" s="12"/>
      <c r="E71" s="13"/>
      <c r="F71" s="13"/>
      <c r="G71" s="13"/>
      <c r="H71" s="13"/>
    </row>
    <row r="72" spans="1:8" ht="14.4" customHeight="1" x14ac:dyDescent="0.3">
      <c r="A72" s="12"/>
      <c r="B72" s="12"/>
      <c r="C72" s="12"/>
      <c r="D72" s="12"/>
      <c r="E72" s="12"/>
      <c r="F72" s="12"/>
      <c r="G72" s="12"/>
      <c r="H72" s="12"/>
    </row>
    <row r="73" spans="1:8" ht="15.6" x14ac:dyDescent="0.3">
      <c r="A73" s="12"/>
      <c r="B73" s="13"/>
      <c r="C73" s="13"/>
      <c r="D73" s="12"/>
      <c r="E73" s="13"/>
      <c r="F73" s="13"/>
      <c r="G73" s="13"/>
      <c r="H73" s="13"/>
    </row>
    <row r="74" spans="1:8" ht="15.6" x14ac:dyDescent="0.3">
      <c r="A74" s="12"/>
      <c r="B74" s="13"/>
      <c r="C74" s="13"/>
      <c r="D74" s="12"/>
      <c r="E74" s="13"/>
      <c r="F74" s="13"/>
      <c r="G74" s="13"/>
      <c r="H74" s="13"/>
    </row>
    <row r="75" spans="1:8" ht="15.6" x14ac:dyDescent="0.3">
      <c r="A75" s="12"/>
      <c r="B75" s="13"/>
      <c r="C75" s="13"/>
      <c r="D75" s="12"/>
      <c r="E75" s="13"/>
      <c r="F75" s="13"/>
      <c r="G75" s="13"/>
      <c r="H75" s="13"/>
    </row>
    <row r="76" spans="1:8" x14ac:dyDescent="0.3">
      <c r="A76" s="12"/>
      <c r="B76" s="12"/>
      <c r="C76" s="12"/>
      <c r="D76" s="12"/>
      <c r="E76" s="12"/>
      <c r="F76" s="12"/>
    </row>
    <row r="77" spans="1:8" ht="80.25" customHeight="1" x14ac:dyDescent="0.3">
      <c r="A77" s="12"/>
      <c r="B77" s="193"/>
      <c r="C77" s="193"/>
      <c r="D77" s="12"/>
      <c r="E77" s="193"/>
      <c r="F77" s="193"/>
      <c r="G77" s="193"/>
      <c r="H77" s="193"/>
    </row>
    <row r="78" spans="1:8" x14ac:dyDescent="0.3">
      <c r="A78" s="12"/>
      <c r="C78" s="83"/>
      <c r="D78" s="12"/>
      <c r="E78" s="194"/>
      <c r="F78" s="194"/>
      <c r="G78" s="194"/>
      <c r="H78" s="83"/>
    </row>
    <row r="79" spans="1:8" ht="15.6" x14ac:dyDescent="0.3">
      <c r="A79" s="12"/>
      <c r="B79" s="13"/>
      <c r="C79" s="13"/>
      <c r="D79" s="12"/>
      <c r="E79" s="194"/>
      <c r="F79" s="194"/>
      <c r="G79" s="194"/>
      <c r="H79" s="13"/>
    </row>
    <row r="80" spans="1:8" ht="15.6" x14ac:dyDescent="0.3">
      <c r="A80" s="12"/>
      <c r="B80" s="13"/>
      <c r="C80" s="13"/>
      <c r="D80" s="12"/>
      <c r="E80" s="13"/>
      <c r="F80" s="13"/>
      <c r="G80" s="13"/>
      <c r="H80" s="13"/>
    </row>
    <row r="81" spans="1:12" ht="15.6" x14ac:dyDescent="0.3">
      <c r="A81" s="12"/>
      <c r="B81" s="13"/>
      <c r="C81" s="13"/>
      <c r="D81" s="12"/>
      <c r="E81" s="13"/>
      <c r="F81" s="13"/>
      <c r="G81" s="13"/>
      <c r="H81" s="13"/>
    </row>
    <row r="82" spans="1:12" ht="61.5" customHeight="1" x14ac:dyDescent="0.3">
      <c r="A82" s="12"/>
      <c r="B82" s="13"/>
      <c r="C82" s="13"/>
      <c r="D82" s="12"/>
      <c r="E82" s="13"/>
      <c r="F82" s="13"/>
      <c r="G82" s="13"/>
      <c r="H82" s="13"/>
    </row>
    <row r="83" spans="1:12" x14ac:dyDescent="0.3">
      <c r="A83" s="12"/>
      <c r="B83" s="12"/>
      <c r="C83" s="12"/>
      <c r="D83" s="12"/>
      <c r="E83" s="12"/>
      <c r="F83" s="12"/>
      <c r="G83" s="12"/>
      <c r="H83" s="12"/>
    </row>
    <row r="84" spans="1:12" ht="15.6" x14ac:dyDescent="0.3">
      <c r="A84" s="12"/>
      <c r="B84" s="13"/>
      <c r="C84" s="13"/>
      <c r="D84" s="12"/>
      <c r="E84" s="13"/>
      <c r="F84" s="13"/>
      <c r="G84" s="13"/>
      <c r="H84" s="13"/>
    </row>
    <row r="85" spans="1:12" ht="15.6" x14ac:dyDescent="0.3">
      <c r="B85" s="13"/>
      <c r="C85" s="13"/>
      <c r="E85" s="13"/>
      <c r="F85" s="13"/>
      <c r="G85" s="13"/>
      <c r="H85" s="13"/>
    </row>
    <row r="86" spans="1:12" s="58" customFormat="1" ht="15.6" x14ac:dyDescent="0.3">
      <c r="A86" s="15"/>
      <c r="B86" s="13"/>
      <c r="C86" s="13"/>
      <c r="D86" s="59"/>
      <c r="E86" s="13"/>
      <c r="F86" s="13"/>
      <c r="G86" s="13"/>
      <c r="H86" s="13"/>
      <c r="I86" s="15"/>
      <c r="J86" s="15"/>
      <c r="K86" s="15"/>
      <c r="L86" s="15"/>
    </row>
    <row r="87" spans="1:12" s="58" customFormat="1" x14ac:dyDescent="0.3">
      <c r="A87" s="15"/>
      <c r="B87" s="12"/>
      <c r="C87" s="12"/>
      <c r="E87" s="83"/>
      <c r="F87" s="83"/>
      <c r="G87" s="15"/>
      <c r="H87" s="15"/>
      <c r="I87" s="15"/>
      <c r="J87" s="15"/>
      <c r="K87" s="15"/>
      <c r="L87" s="15"/>
    </row>
    <row r="88" spans="1:12" ht="84" customHeight="1" x14ac:dyDescent="0.3">
      <c r="B88" s="193"/>
      <c r="C88" s="193"/>
      <c r="E88" s="193"/>
      <c r="F88" s="193"/>
      <c r="G88" s="193"/>
      <c r="H88" s="193"/>
    </row>
    <row r="89" spans="1:12" s="58" customFormat="1" x14ac:dyDescent="0.3">
      <c r="A89" s="15"/>
      <c r="B89" s="15"/>
      <c r="C89" s="83"/>
      <c r="D89" s="59"/>
      <c r="E89" s="194"/>
      <c r="F89" s="194"/>
      <c r="G89" s="194"/>
      <c r="H89" s="83"/>
      <c r="I89" s="15"/>
      <c r="J89" s="15"/>
      <c r="K89" s="15"/>
      <c r="L89" s="15"/>
    </row>
    <row r="90" spans="1:12" s="58" customFormat="1" ht="15.6" x14ac:dyDescent="0.3">
      <c r="A90" s="15"/>
      <c r="B90" s="13"/>
      <c r="C90" s="13"/>
      <c r="E90" s="194"/>
      <c r="F90" s="194"/>
      <c r="G90" s="194"/>
      <c r="H90" s="13"/>
      <c r="I90" s="15"/>
      <c r="J90" s="15"/>
      <c r="K90" s="15"/>
      <c r="L90" s="15"/>
    </row>
    <row r="91" spans="1:12" ht="15.6" x14ac:dyDescent="0.3">
      <c r="B91" s="13"/>
      <c r="C91" s="13"/>
      <c r="E91" s="13"/>
      <c r="F91" s="13"/>
      <c r="G91" s="13"/>
      <c r="H91" s="13"/>
    </row>
    <row r="92" spans="1:12" s="58" customFormat="1" ht="15.6" x14ac:dyDescent="0.3">
      <c r="A92" s="15"/>
      <c r="B92" s="13"/>
      <c r="C92" s="13"/>
      <c r="D92" s="59"/>
      <c r="E92" s="13"/>
      <c r="F92" s="13"/>
      <c r="G92" s="13"/>
      <c r="H92" s="13"/>
      <c r="I92" s="15"/>
      <c r="J92" s="15"/>
      <c r="K92" s="15"/>
      <c r="L92" s="15"/>
    </row>
    <row r="93" spans="1:12" s="58" customFormat="1" ht="14.4" customHeight="1" x14ac:dyDescent="0.3">
      <c r="A93" s="15"/>
      <c r="B93" s="13"/>
      <c r="C93" s="13"/>
      <c r="E93" s="13"/>
      <c r="F93" s="13"/>
      <c r="G93" s="13"/>
      <c r="H93" s="13"/>
      <c r="I93" s="15"/>
      <c r="J93" s="15"/>
      <c r="K93" s="15"/>
      <c r="L93" s="15"/>
    </row>
    <row r="94" spans="1:12" x14ac:dyDescent="0.3">
      <c r="B94" s="12"/>
      <c r="C94" s="12"/>
      <c r="E94" s="12"/>
      <c r="F94" s="12"/>
      <c r="G94" s="12"/>
      <c r="H94" s="12"/>
    </row>
    <row r="95" spans="1:12" ht="15.6" x14ac:dyDescent="0.3">
      <c r="B95" s="13"/>
      <c r="C95" s="13"/>
      <c r="E95" s="13"/>
      <c r="F95" s="13"/>
      <c r="G95" s="13"/>
      <c r="H95" s="13"/>
    </row>
    <row r="96" spans="1:12" ht="15.6" x14ac:dyDescent="0.3">
      <c r="B96" s="13"/>
      <c r="C96" s="13"/>
      <c r="E96" s="13"/>
      <c r="F96" s="13"/>
      <c r="G96" s="13"/>
      <c r="H96" s="13"/>
    </row>
    <row r="97" spans="2:8" ht="15.6" x14ac:dyDescent="0.3">
      <c r="B97" s="13"/>
      <c r="C97" s="13"/>
      <c r="E97" s="13"/>
      <c r="F97" s="13"/>
      <c r="G97" s="13"/>
      <c r="H97" s="13"/>
    </row>
    <row r="98" spans="2:8" x14ac:dyDescent="0.3">
      <c r="C98" s="83"/>
      <c r="E98" s="83"/>
      <c r="F98" s="83"/>
    </row>
    <row r="99" spans="2:8" x14ac:dyDescent="0.3">
      <c r="E99" s="83"/>
      <c r="F99" s="83"/>
    </row>
  </sheetData>
  <sheetProtection algorithmName="SHA-512" hashValue="xeSXABw3GfeZTZMRADrV7Gtm2eJOLIcBEuiwgLZZNBTrVtI6ZhOdi5sSmJAyMrWXKXzQLiK/mmE7rvX1eGH8fA==" saltValue="J9X24PJekhrFhqh6jNdDbw==" spinCount="100000" sheet="1" formatRows="0" selectLockedCells="1"/>
  <protectedRanges>
    <protectedRange sqref="G43:G45 A51" name="Range5"/>
    <protectedRange sqref="H28 G32:H35 H31" name="Range4"/>
    <protectedRange sqref="A13:G22" name="Range2"/>
    <protectedRange sqref="D6 D8:D9" name="Range1"/>
    <protectedRange sqref="G36:H36" name="Range4_2"/>
  </protectedRanges>
  <mergeCells count="45">
    <mergeCell ref="B88:C88"/>
    <mergeCell ref="E88:H88"/>
    <mergeCell ref="E89:G89"/>
    <mergeCell ref="E90:G90"/>
    <mergeCell ref="E67:G67"/>
    <mergeCell ref="E68:G68"/>
    <mergeCell ref="B77:C77"/>
    <mergeCell ref="E77:H77"/>
    <mergeCell ref="E78:G78"/>
    <mergeCell ref="E79:G79"/>
    <mergeCell ref="B55:C55"/>
    <mergeCell ref="E55:H55"/>
    <mergeCell ref="E56:G56"/>
    <mergeCell ref="E57:G57"/>
    <mergeCell ref="B66:C66"/>
    <mergeCell ref="E66:H66"/>
    <mergeCell ref="A51:G51"/>
    <mergeCell ref="A24:E24"/>
    <mergeCell ref="B25:D25"/>
    <mergeCell ref="B26:D26"/>
    <mergeCell ref="B27:F27"/>
    <mergeCell ref="A29:C29"/>
    <mergeCell ref="B33:C33"/>
    <mergeCell ref="A39:G39"/>
    <mergeCell ref="A40:G40"/>
    <mergeCell ref="A42:B42"/>
    <mergeCell ref="A50:G50"/>
    <mergeCell ref="I31:J32"/>
    <mergeCell ref="A17:G17"/>
    <mergeCell ref="A18:G18"/>
    <mergeCell ref="A19:G19"/>
    <mergeCell ref="A20:G20"/>
    <mergeCell ref="A21:G21"/>
    <mergeCell ref="A22:G22"/>
    <mergeCell ref="A16:G16"/>
    <mergeCell ref="C1:H1"/>
    <mergeCell ref="A2:H2"/>
    <mergeCell ref="A3:H3"/>
    <mergeCell ref="B6:C6"/>
    <mergeCell ref="B8:C8"/>
    <mergeCell ref="B9:C9"/>
    <mergeCell ref="A12:H12"/>
    <mergeCell ref="A13:G13"/>
    <mergeCell ref="A14:G14"/>
    <mergeCell ref="A15:G15"/>
  </mergeCells>
  <conditionalFormatting sqref="D86 D89 D92">
    <cfRule type="cellIs" dxfId="3" priority="2" stopIfTrue="1" operator="equal">
      <formula>"ERROR"</formula>
    </cfRule>
  </conditionalFormatting>
  <conditionalFormatting sqref="G6:G7">
    <cfRule type="cellIs" dxfId="2" priority="1" operator="equal">
      <formula>"ERROR - Please Seect from the drop down menue to the left."</formula>
    </cfRule>
  </conditionalFormatting>
  <dataValidations count="3">
    <dataValidation type="whole" operator="greaterThanOrEqual" allowBlank="1" showInputMessage="1" showErrorMessage="1" sqref="H35:H36 H31" xr:uid="{A6D8D782-7442-49FB-AAB5-A4363486A59A}">
      <formula1>0</formula1>
    </dataValidation>
    <dataValidation type="whole" operator="greaterThan" allowBlank="1" showInputMessage="1" showErrorMessage="1" sqref="H32:H34" xr:uid="{CDAB6425-78B3-4950-B496-8849BBB2269C}">
      <formula1>0</formula1>
    </dataValidation>
    <dataValidation type="decimal" operator="greaterThanOrEqual" allowBlank="1" showInputMessage="1" showErrorMessage="1" sqref="G43:G45 H28" xr:uid="{34EE534D-0547-454D-8E89-2B1713B1A5D5}">
      <formula1>0</formula1>
    </dataValidation>
  </dataValidations>
  <hyperlinks>
    <hyperlink ref="B34" r:id="rId1" location="page=16" xr:uid="{F0465115-FBA8-4229-B04E-4CE03D13918A}"/>
    <hyperlink ref="B31" r:id="rId2" xr:uid="{580B1AD2-9596-443C-BCA5-AB8515976239}"/>
    <hyperlink ref="B33" r:id="rId3" location="page=14" display=" Student Location Factor (SLF) " xr:uid="{710A082B-C299-479E-B5B9-0AFD7C2C7DAE}"/>
    <hyperlink ref="B26" location="'(3) Reference STF-SLF-SSLF'!A1" display="From within the FNSR, the transportation portion derived from the SLF, SSLF, and STF" xr:uid="{5B945EB8-652A-4239-AA03-4AF191EE7B18}"/>
    <hyperlink ref="B26:D26" location="'(3) Reference STF-SLF-SSLF'!A1" display="Transportation portion (SLF, SSLF, and STF) per student from the FNSR" xr:uid="{D772B4F6-B6D1-4F6B-8A4F-A7E22A048CC5}"/>
    <hyperlink ref="B33:C33" r:id="rId4" location="page=15" display=" Student Location Factor (SLF)" xr:uid="{6061A8FB-4958-4C6B-8694-ECECF412C962}"/>
  </hyperlinks>
  <printOptions horizontalCentered="1"/>
  <pageMargins left="0" right="0" top="0.59055118110236227" bottom="0.59055118110236227" header="0" footer="0"/>
  <pageSetup scale="57" orientation="portrait" r:id="rId5"/>
  <rowBreaks count="1" manualBreakCount="1">
    <brk id="28" max="7" man="1"/>
  </rowBreaks>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73476850-574B-4963-BAB0-0AF060A5D55B}">
          <x14:formula1>
            <xm:f>'Auto Populate Table'!$A$2:$A$62</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8B82-02A5-4148-BB89-02872E99B72A}">
  <dimension ref="A1:L99"/>
  <sheetViews>
    <sheetView zoomScale="140" zoomScaleNormal="140" workbookViewId="0">
      <selection activeCell="D6" sqref="D6"/>
    </sheetView>
  </sheetViews>
  <sheetFormatPr defaultColWidth="9.109375" defaultRowHeight="14.4" x14ac:dyDescent="0.3"/>
  <cols>
    <col min="1" max="1" width="7" style="15" customWidth="1"/>
    <col min="2" max="2" width="55.88671875" style="15" customWidth="1"/>
    <col min="3" max="3" width="15.109375" style="58" customWidth="1"/>
    <col min="4" max="4" width="17.6640625" style="58" customWidth="1"/>
    <col min="5" max="5" width="16.6640625" style="58" customWidth="1"/>
    <col min="6" max="6" width="16.88671875" style="58" customWidth="1"/>
    <col min="7" max="7" width="17" style="15" customWidth="1"/>
    <col min="8" max="8" width="19.44140625" style="15" customWidth="1"/>
    <col min="9" max="9" width="45" style="15" customWidth="1"/>
    <col min="10" max="10" width="32" style="15" customWidth="1"/>
    <col min="11" max="11" width="18.33203125" style="15" customWidth="1"/>
    <col min="12" max="16384" width="9.109375" style="15"/>
  </cols>
  <sheetData>
    <row r="1" spans="1:10" ht="43.5" customHeight="1" x14ac:dyDescent="0.3">
      <c r="A1" s="14"/>
      <c r="B1" s="14"/>
      <c r="C1" s="170" t="s">
        <v>370</v>
      </c>
      <c r="D1" s="170"/>
      <c r="E1" s="170"/>
      <c r="F1" s="170"/>
      <c r="G1" s="170"/>
      <c r="H1" s="170"/>
      <c r="I1" s="5" t="s">
        <v>0</v>
      </c>
    </row>
    <row r="2" spans="1:10" ht="36" customHeight="1" x14ac:dyDescent="0.3">
      <c r="A2" s="171" t="s">
        <v>496</v>
      </c>
      <c r="B2" s="171"/>
      <c r="C2" s="171"/>
      <c r="D2" s="171"/>
      <c r="E2" s="171"/>
      <c r="F2" s="171"/>
      <c r="G2" s="171"/>
      <c r="H2" s="171"/>
      <c r="I2" s="5" t="s">
        <v>0</v>
      </c>
      <c r="J2" s="15" t="s">
        <v>0</v>
      </c>
    </row>
    <row r="3" spans="1:10" ht="33" customHeight="1" x14ac:dyDescent="0.3">
      <c r="A3" s="172" t="s">
        <v>372</v>
      </c>
      <c r="B3" s="172"/>
      <c r="C3" s="172"/>
      <c r="D3" s="172"/>
      <c r="E3" s="172"/>
      <c r="F3" s="172"/>
      <c r="G3" s="172"/>
      <c r="H3" s="172"/>
    </row>
    <row r="4" spans="1:10" ht="18.75" customHeight="1" x14ac:dyDescent="0.3">
      <c r="A4" s="18" t="s">
        <v>3</v>
      </c>
      <c r="B4" s="18"/>
      <c r="C4" s="19"/>
      <c r="D4" s="20" t="s">
        <v>2</v>
      </c>
      <c r="E4" s="21"/>
      <c r="F4" s="22"/>
      <c r="G4" s="17"/>
      <c r="H4" s="17"/>
    </row>
    <row r="5" spans="1:10" ht="18.75" customHeight="1" x14ac:dyDescent="0.3">
      <c r="A5" s="18" t="s">
        <v>371</v>
      </c>
      <c r="B5" s="18"/>
      <c r="C5" s="16"/>
      <c r="D5" s="16"/>
      <c r="E5" s="17"/>
      <c r="F5" s="17"/>
      <c r="G5" s="17"/>
      <c r="H5" s="17"/>
    </row>
    <row r="6" spans="1:10" ht="47.25" customHeight="1" x14ac:dyDescent="0.3">
      <c r="A6" s="18"/>
      <c r="B6" s="173" t="s">
        <v>345</v>
      </c>
      <c r="C6" s="174"/>
      <c r="D6" s="60"/>
      <c r="E6" s="79" t="s">
        <v>400</v>
      </c>
      <c r="F6" s="80"/>
      <c r="G6" s="23"/>
      <c r="H6" s="17"/>
      <c r="J6" s="24"/>
    </row>
    <row r="7" spans="1:10" ht="36" customHeight="1" x14ac:dyDescent="0.3">
      <c r="A7" s="18"/>
      <c r="B7" s="74"/>
      <c r="C7" s="77"/>
      <c r="D7" s="82" t="s">
        <v>373</v>
      </c>
      <c r="E7" s="82" t="s">
        <v>374</v>
      </c>
      <c r="F7" s="80" t="s">
        <v>344</v>
      </c>
      <c r="G7" s="23"/>
      <c r="H7" s="17"/>
      <c r="J7" s="24"/>
    </row>
    <row r="8" spans="1:10" ht="46.5" customHeight="1" x14ac:dyDescent="0.3">
      <c r="A8" s="25"/>
      <c r="B8" s="173" t="s">
        <v>391</v>
      </c>
      <c r="C8" s="174"/>
      <c r="D8" s="98">
        <v>2600</v>
      </c>
      <c r="E8" s="87" t="s">
        <v>401</v>
      </c>
      <c r="F8" s="88" t="str">
        <f t="shared" ref="F8" si="0">IFERROR(SUM(D8-E8)/E8,"amount will autocalculate")</f>
        <v>amount will autocalculate</v>
      </c>
      <c r="G8" s="17"/>
      <c r="H8" s="17"/>
    </row>
    <row r="9" spans="1:10" ht="31.5" customHeight="1" x14ac:dyDescent="0.3">
      <c r="A9" s="25"/>
      <c r="B9" s="173" t="s">
        <v>392</v>
      </c>
      <c r="C9" s="173"/>
      <c r="D9" s="99">
        <v>87</v>
      </c>
      <c r="E9" s="87" t="s">
        <v>401</v>
      </c>
      <c r="F9" s="88" t="str">
        <f>IFERROR(SUM(D9-E9)/E9,"amount will autocalculate")</f>
        <v>amount will autocalculate</v>
      </c>
      <c r="G9" s="17"/>
      <c r="H9" s="17"/>
    </row>
    <row r="10" spans="1:10" ht="25.5" customHeight="1" x14ac:dyDescent="0.3">
      <c r="A10" s="25"/>
      <c r="B10" s="25"/>
      <c r="C10" s="16"/>
      <c r="D10" s="84" t="s">
        <v>355</v>
      </c>
      <c r="E10" s="17"/>
      <c r="F10" s="17"/>
      <c r="G10" s="17"/>
      <c r="H10" s="17"/>
      <c r="J10" s="2"/>
    </row>
    <row r="11" spans="1:10" ht="10.5" customHeight="1" x14ac:dyDescent="0.3">
      <c r="A11" s="44"/>
      <c r="B11" s="44"/>
      <c r="C11" s="44"/>
      <c r="D11" s="44"/>
      <c r="E11" s="44"/>
      <c r="F11" s="44"/>
      <c r="G11" s="44"/>
      <c r="H11" s="44"/>
      <c r="J11" s="2"/>
    </row>
    <row r="12" spans="1:10" ht="61.95" customHeight="1" x14ac:dyDescent="0.3">
      <c r="A12" s="175" t="s">
        <v>363</v>
      </c>
      <c r="B12" s="175"/>
      <c r="C12" s="175"/>
      <c r="D12" s="175"/>
      <c r="E12" s="175"/>
      <c r="F12" s="175"/>
      <c r="G12" s="175"/>
      <c r="H12" s="175"/>
      <c r="I12" s="15" t="s">
        <v>0</v>
      </c>
    </row>
    <row r="13" spans="1:10" ht="24.6" customHeight="1" x14ac:dyDescent="0.3">
      <c r="A13" s="167" t="s">
        <v>341</v>
      </c>
      <c r="B13" s="168"/>
      <c r="C13" s="168"/>
      <c r="D13" s="168"/>
      <c r="E13" s="168"/>
      <c r="F13" s="168"/>
      <c r="G13" s="169"/>
      <c r="H13" s="17"/>
    </row>
    <row r="14" spans="1:10" ht="24.6" customHeight="1" x14ac:dyDescent="0.3">
      <c r="A14" s="167" t="s">
        <v>248</v>
      </c>
      <c r="B14" s="168"/>
      <c r="C14" s="168"/>
      <c r="D14" s="168"/>
      <c r="E14" s="168"/>
      <c r="F14" s="168"/>
      <c r="G14" s="169"/>
      <c r="H14" s="17"/>
      <c r="I14" s="15" t="s">
        <v>0</v>
      </c>
    </row>
    <row r="15" spans="1:10" ht="24.75" customHeight="1" x14ac:dyDescent="0.3">
      <c r="A15" s="167" t="s">
        <v>27</v>
      </c>
      <c r="B15" s="168"/>
      <c r="C15" s="168"/>
      <c r="D15" s="168"/>
      <c r="E15" s="168"/>
      <c r="F15" s="168"/>
      <c r="G15" s="169"/>
      <c r="H15" s="17"/>
    </row>
    <row r="16" spans="1:10" ht="24.75" customHeight="1" x14ac:dyDescent="0.3">
      <c r="A16" s="167" t="s">
        <v>339</v>
      </c>
      <c r="B16" s="168"/>
      <c r="C16" s="168"/>
      <c r="D16" s="168"/>
      <c r="E16" s="168"/>
      <c r="F16" s="168"/>
      <c r="G16" s="169"/>
      <c r="H16" s="17"/>
    </row>
    <row r="17" spans="1:11" ht="24.75" customHeight="1" x14ac:dyDescent="0.3">
      <c r="A17" s="167" t="s">
        <v>28</v>
      </c>
      <c r="B17" s="168"/>
      <c r="C17" s="168"/>
      <c r="D17" s="168"/>
      <c r="E17" s="168"/>
      <c r="F17" s="168"/>
      <c r="G17" s="169"/>
      <c r="H17" s="17"/>
    </row>
    <row r="18" spans="1:11" ht="24.75" customHeight="1" x14ac:dyDescent="0.3">
      <c r="A18" s="167" t="s">
        <v>29</v>
      </c>
      <c r="B18" s="168"/>
      <c r="C18" s="168"/>
      <c r="D18" s="168"/>
      <c r="E18" s="168"/>
      <c r="F18" s="168"/>
      <c r="G18" s="169"/>
      <c r="H18" s="17"/>
    </row>
    <row r="19" spans="1:11" ht="24.75" customHeight="1" x14ac:dyDescent="0.3">
      <c r="A19" s="167" t="s">
        <v>346</v>
      </c>
      <c r="B19" s="168"/>
      <c r="C19" s="168"/>
      <c r="D19" s="168"/>
      <c r="E19" s="168"/>
      <c r="F19" s="168"/>
      <c r="G19" s="169"/>
      <c r="H19" s="17"/>
    </row>
    <row r="20" spans="1:11" ht="24.75" customHeight="1" x14ac:dyDescent="0.3">
      <c r="A20" s="167" t="s">
        <v>340</v>
      </c>
      <c r="B20" s="168"/>
      <c r="C20" s="168"/>
      <c r="D20" s="168"/>
      <c r="E20" s="168"/>
      <c r="F20" s="168"/>
      <c r="G20" s="169"/>
      <c r="H20" s="17"/>
    </row>
    <row r="21" spans="1:11" ht="24.75" customHeight="1" x14ac:dyDescent="0.3">
      <c r="A21" s="167"/>
      <c r="B21" s="168"/>
      <c r="C21" s="168"/>
      <c r="D21" s="168"/>
      <c r="E21" s="168"/>
      <c r="F21" s="168"/>
      <c r="G21" s="169"/>
      <c r="H21" s="17"/>
    </row>
    <row r="22" spans="1:11" ht="24.75" customHeight="1" x14ac:dyDescent="0.3">
      <c r="A22" s="177"/>
      <c r="B22" s="177"/>
      <c r="C22" s="177"/>
      <c r="D22" s="177"/>
      <c r="E22" s="177"/>
      <c r="F22" s="177"/>
      <c r="G22" s="178"/>
      <c r="H22" s="17"/>
    </row>
    <row r="23" spans="1:11" ht="12.75" customHeight="1" x14ac:dyDescent="0.3">
      <c r="A23" s="44"/>
      <c r="B23" s="44"/>
      <c r="C23" s="44"/>
      <c r="D23" s="44"/>
      <c r="E23" s="44"/>
      <c r="F23" s="44"/>
      <c r="G23" s="44"/>
      <c r="H23" s="44"/>
    </row>
    <row r="24" spans="1:11" ht="87" customHeight="1" x14ac:dyDescent="0.3">
      <c r="A24" s="175" t="s">
        <v>380</v>
      </c>
      <c r="B24" s="175"/>
      <c r="C24" s="175"/>
      <c r="D24" s="175"/>
      <c r="E24" s="175"/>
      <c r="F24" s="85"/>
      <c r="G24" s="85"/>
      <c r="H24" s="85"/>
      <c r="I24" s="69"/>
      <c r="J24" s="4" t="s">
        <v>0</v>
      </c>
      <c r="K24" s="30" t="s">
        <v>0</v>
      </c>
    </row>
    <row r="25" spans="1:11" ht="33" customHeight="1" x14ac:dyDescent="0.3">
      <c r="A25" s="31"/>
      <c r="B25" s="182" t="s">
        <v>399</v>
      </c>
      <c r="C25" s="183"/>
      <c r="D25" s="183"/>
      <c r="E25" s="62"/>
      <c r="F25" s="62" t="s">
        <v>0</v>
      </c>
      <c r="G25" s="62" t="s">
        <v>401</v>
      </c>
      <c r="H25" s="62"/>
      <c r="I25" s="69"/>
      <c r="J25" s="4"/>
      <c r="K25" s="30"/>
    </row>
    <row r="26" spans="1:11" ht="33" customHeight="1" x14ac:dyDescent="0.3">
      <c r="A26" s="31"/>
      <c r="B26" s="184" t="s">
        <v>381</v>
      </c>
      <c r="C26" s="184"/>
      <c r="D26" s="184"/>
      <c r="E26" s="70"/>
      <c r="F26" s="62" t="s">
        <v>0</v>
      </c>
      <c r="G26" s="62" t="s">
        <v>401</v>
      </c>
      <c r="H26" s="76" t="s">
        <v>0</v>
      </c>
      <c r="I26" s="69"/>
      <c r="J26" s="78"/>
      <c r="K26" s="30"/>
    </row>
    <row r="27" spans="1:11" ht="30" customHeight="1" x14ac:dyDescent="0.3">
      <c r="A27" s="31"/>
      <c r="B27" s="185" t="s">
        <v>367</v>
      </c>
      <c r="C27" s="185"/>
      <c r="D27" s="185"/>
      <c r="E27" s="185"/>
      <c r="F27" s="185"/>
      <c r="G27" s="81" t="str">
        <f>IFERROR(G25*G26,"Select SD# Above")</f>
        <v>Select SD# Above</v>
      </c>
      <c r="H27" s="81" t="s">
        <v>0</v>
      </c>
      <c r="I27" s="69" t="s">
        <v>0</v>
      </c>
      <c r="J27" s="4"/>
      <c r="K27" s="30"/>
    </row>
    <row r="28" spans="1:11" ht="13.5" customHeight="1" x14ac:dyDescent="0.3">
      <c r="A28" s="44"/>
      <c r="B28" s="44"/>
      <c r="C28" s="44"/>
      <c r="D28" s="44"/>
      <c r="E28" s="44"/>
      <c r="F28" s="44"/>
      <c r="G28" s="44"/>
      <c r="H28" s="44"/>
      <c r="I28" s="69"/>
      <c r="J28" s="4"/>
      <c r="K28" s="30"/>
    </row>
    <row r="29" spans="1:11" ht="161.4" customHeight="1" x14ac:dyDescent="0.3">
      <c r="A29" s="186" t="s">
        <v>342</v>
      </c>
      <c r="B29" s="186"/>
      <c r="C29" s="187"/>
      <c r="D29" s="27" t="s">
        <v>377</v>
      </c>
      <c r="E29" s="27" t="s">
        <v>378</v>
      </c>
      <c r="F29" s="28" t="s">
        <v>398</v>
      </c>
      <c r="G29" s="28" t="s">
        <v>389</v>
      </c>
      <c r="H29" s="29" t="s">
        <v>390</v>
      </c>
      <c r="I29" s="97" t="s">
        <v>0</v>
      </c>
      <c r="K29" s="30"/>
    </row>
    <row r="30" spans="1:11" ht="19.5" customHeight="1" x14ac:dyDescent="0.3">
      <c r="A30" s="31"/>
      <c r="B30" s="32" t="s">
        <v>1</v>
      </c>
      <c r="C30" s="33"/>
      <c r="D30" s="33"/>
      <c r="E30" s="33"/>
      <c r="F30" s="34"/>
      <c r="G30" s="34"/>
      <c r="H30" s="35"/>
      <c r="K30" s="3" t="s">
        <v>0</v>
      </c>
    </row>
    <row r="31" spans="1:11" ht="27" customHeight="1" x14ac:dyDescent="0.3">
      <c r="A31" s="31"/>
      <c r="B31" s="119" t="s">
        <v>4</v>
      </c>
      <c r="C31" s="36"/>
      <c r="D31" s="124" t="s">
        <v>402</v>
      </c>
      <c r="E31" s="124" t="s">
        <v>401</v>
      </c>
      <c r="F31" s="124" t="s">
        <v>401</v>
      </c>
      <c r="G31" s="124" t="s">
        <v>401</v>
      </c>
      <c r="H31" s="100"/>
      <c r="I31" s="176" t="s">
        <v>0</v>
      </c>
      <c r="J31" s="176"/>
      <c r="K31" s="3" t="s">
        <v>0</v>
      </c>
    </row>
    <row r="32" spans="1:11" ht="30.75" customHeight="1" x14ac:dyDescent="0.3">
      <c r="A32" s="31"/>
      <c r="B32" s="37" t="s">
        <v>343</v>
      </c>
      <c r="C32" s="36"/>
      <c r="D32" s="36"/>
      <c r="E32" s="36"/>
      <c r="F32" s="10"/>
      <c r="G32" s="38"/>
      <c r="H32" s="38"/>
      <c r="I32" s="176"/>
      <c r="J32" s="176"/>
      <c r="K32" s="3" t="s">
        <v>0</v>
      </c>
    </row>
    <row r="33" spans="1:11" ht="20.25" customHeight="1" x14ac:dyDescent="0.3">
      <c r="A33" s="31"/>
      <c r="B33" s="188" t="s">
        <v>356</v>
      </c>
      <c r="C33" s="188"/>
      <c r="D33" s="63" t="s">
        <v>401</v>
      </c>
      <c r="E33" s="36"/>
      <c r="F33" s="10"/>
      <c r="G33" s="38"/>
      <c r="H33" s="38"/>
      <c r="I33" s="15" t="s">
        <v>0</v>
      </c>
      <c r="K33" s="3"/>
    </row>
    <row r="34" spans="1:11" ht="18.75" customHeight="1" x14ac:dyDescent="0.3">
      <c r="A34" s="31"/>
      <c r="B34" s="120" t="s">
        <v>357</v>
      </c>
      <c r="C34" s="121"/>
      <c r="D34" s="63" t="s">
        <v>401</v>
      </c>
      <c r="E34" s="68"/>
      <c r="F34" s="11"/>
      <c r="G34" s="38"/>
      <c r="H34" s="38"/>
      <c r="I34" s="15" t="s">
        <v>0</v>
      </c>
      <c r="K34" s="3" t="s">
        <v>0</v>
      </c>
    </row>
    <row r="35" spans="1:11" ht="28.2" customHeight="1" x14ac:dyDescent="0.3">
      <c r="A35" s="31"/>
      <c r="B35" s="122" t="s">
        <v>36</v>
      </c>
      <c r="C35" s="123"/>
      <c r="D35" s="63" t="s">
        <v>401</v>
      </c>
      <c r="E35" s="36"/>
      <c r="F35" s="10"/>
      <c r="G35" s="38"/>
      <c r="H35" s="100"/>
      <c r="I35" s="15" t="s">
        <v>0</v>
      </c>
      <c r="K35" s="15" t="s">
        <v>0</v>
      </c>
    </row>
    <row r="36" spans="1:11" ht="28.2" customHeight="1" x14ac:dyDescent="0.3">
      <c r="A36" s="31"/>
      <c r="B36" s="75" t="s">
        <v>43</v>
      </c>
      <c r="C36" s="36"/>
      <c r="D36" s="100"/>
      <c r="E36" s="36"/>
      <c r="F36" s="10"/>
      <c r="G36" s="38"/>
      <c r="H36" s="100"/>
    </row>
    <row r="37" spans="1:11" ht="28.2" customHeight="1" x14ac:dyDescent="0.3">
      <c r="A37" s="31"/>
      <c r="B37" s="39" t="s">
        <v>260</v>
      </c>
      <c r="C37" s="36"/>
      <c r="D37" s="41" t="s">
        <v>394</v>
      </c>
      <c r="E37" s="36"/>
      <c r="F37" s="40"/>
      <c r="G37" s="42" t="s">
        <v>0</v>
      </c>
      <c r="H37" s="41" t="s">
        <v>395</v>
      </c>
      <c r="K37" s="43" t="s">
        <v>0</v>
      </c>
    </row>
    <row r="38" spans="1:11" ht="15" customHeight="1" x14ac:dyDescent="0.3">
      <c r="A38" s="44"/>
      <c r="B38" s="44"/>
      <c r="C38" s="44"/>
      <c r="D38" s="44"/>
      <c r="E38" s="44"/>
      <c r="F38" s="44"/>
      <c r="G38" s="44"/>
      <c r="H38" s="44"/>
    </row>
    <row r="39" spans="1:11" ht="42" customHeight="1" x14ac:dyDescent="0.3">
      <c r="A39" s="189" t="s">
        <v>365</v>
      </c>
      <c r="B39" s="189"/>
      <c r="C39" s="189"/>
      <c r="D39" s="189"/>
      <c r="E39" s="189"/>
      <c r="F39" s="189"/>
      <c r="G39" s="189"/>
      <c r="H39" s="31"/>
    </row>
    <row r="40" spans="1:11" ht="47.25" customHeight="1" x14ac:dyDescent="0.3">
      <c r="A40" s="190"/>
      <c r="B40" s="191"/>
      <c r="C40" s="191"/>
      <c r="D40" s="191"/>
      <c r="E40" s="191"/>
      <c r="F40" s="191"/>
      <c r="G40" s="192"/>
      <c r="H40" s="93" t="s">
        <v>393</v>
      </c>
    </row>
    <row r="41" spans="1:11" ht="11.25" customHeight="1" x14ac:dyDescent="0.3">
      <c r="A41" s="44"/>
      <c r="B41" s="44"/>
      <c r="C41" s="44"/>
      <c r="D41" s="44"/>
      <c r="E41" s="44"/>
      <c r="F41" s="44"/>
      <c r="G41" s="44"/>
      <c r="H41" s="44"/>
    </row>
    <row r="42" spans="1:11" ht="62.25" customHeight="1" x14ac:dyDescent="0.3">
      <c r="A42" s="175" t="s">
        <v>384</v>
      </c>
      <c r="B42" s="175"/>
      <c r="C42" s="51" t="s">
        <v>386</v>
      </c>
      <c r="D42" s="51" t="s">
        <v>382</v>
      </c>
      <c r="E42" s="51" t="s">
        <v>375</v>
      </c>
      <c r="F42" s="51" t="s">
        <v>376</v>
      </c>
      <c r="G42" s="51" t="s">
        <v>383</v>
      </c>
      <c r="H42" s="51" t="s">
        <v>387</v>
      </c>
      <c r="J42" s="2"/>
    </row>
    <row r="43" spans="1:11" ht="28.2" customHeight="1" x14ac:dyDescent="0.3">
      <c r="A43" s="17"/>
      <c r="B43" s="52" t="s">
        <v>37</v>
      </c>
      <c r="C43" s="61" t="s">
        <v>401</v>
      </c>
      <c r="D43" s="61" t="s">
        <v>401</v>
      </c>
      <c r="E43" s="61" t="s">
        <v>401</v>
      </c>
      <c r="F43" s="53">
        <f>SUM(C43, E43)</f>
        <v>0</v>
      </c>
      <c r="G43" s="113"/>
      <c r="H43" s="53">
        <f>MAX(0,F43-G43)</f>
        <v>0</v>
      </c>
      <c r="I43" s="15" t="s">
        <v>0</v>
      </c>
      <c r="J43" s="43"/>
    </row>
    <row r="44" spans="1:11" ht="28.2" customHeight="1" x14ac:dyDescent="0.3">
      <c r="A44" s="17"/>
      <c r="B44" s="52" t="s">
        <v>38</v>
      </c>
      <c r="C44" s="61" t="s">
        <v>401</v>
      </c>
      <c r="D44" s="61" t="s">
        <v>402</v>
      </c>
      <c r="E44" s="61" t="s">
        <v>402</v>
      </c>
      <c r="F44" s="53">
        <f>SUM(C44, E44)</f>
        <v>0</v>
      </c>
      <c r="G44" s="113"/>
      <c r="H44" s="53">
        <f t="shared" ref="H44" si="1">MAX(0,F44-G44)</f>
        <v>0</v>
      </c>
    </row>
    <row r="45" spans="1:11" ht="28.2" customHeight="1" x14ac:dyDescent="0.3">
      <c r="A45" s="17"/>
      <c r="B45" s="52" t="s">
        <v>385</v>
      </c>
      <c r="C45" s="61" t="s">
        <v>401</v>
      </c>
      <c r="D45" s="61" t="s">
        <v>401</v>
      </c>
      <c r="E45" s="61" t="s">
        <v>401</v>
      </c>
      <c r="F45" s="53">
        <f>SUM(C45, E45)</f>
        <v>0</v>
      </c>
      <c r="G45" s="113"/>
      <c r="H45" s="53">
        <f>MAX(0,F45-G45)</f>
        <v>0</v>
      </c>
    </row>
    <row r="46" spans="1:11" ht="28.2" customHeight="1" x14ac:dyDescent="0.3">
      <c r="A46" s="17"/>
      <c r="B46" s="72" t="s">
        <v>5</v>
      </c>
      <c r="C46" s="71">
        <f t="shared" ref="C46:H46" si="2">SUM(C43:C45)</f>
        <v>0</v>
      </c>
      <c r="D46" s="71">
        <f>SUM(D43:D45)</f>
        <v>0</v>
      </c>
      <c r="E46" s="71">
        <f>SUM(E43:E45)</f>
        <v>0</v>
      </c>
      <c r="F46" s="71">
        <f t="shared" si="2"/>
        <v>0</v>
      </c>
      <c r="G46" s="71" t="s">
        <v>396</v>
      </c>
      <c r="H46" s="71">
        <f t="shared" si="2"/>
        <v>0</v>
      </c>
    </row>
    <row r="47" spans="1:11" ht="14.25" customHeight="1" x14ac:dyDescent="0.3">
      <c r="A47" s="73"/>
      <c r="B47" s="46"/>
      <c r="C47" s="47"/>
      <c r="D47" s="47"/>
      <c r="E47" s="47"/>
      <c r="F47" s="47"/>
      <c r="G47" s="48"/>
      <c r="H47" s="49"/>
      <c r="J47" s="50"/>
      <c r="K47" s="50"/>
    </row>
    <row r="48" spans="1:11" ht="28.95" customHeight="1" x14ac:dyDescent="0.3">
      <c r="A48" s="54" t="s">
        <v>388</v>
      </c>
      <c r="B48" s="55"/>
      <c r="C48" s="26"/>
      <c r="D48" s="26"/>
      <c r="E48" s="56"/>
      <c r="F48" s="56"/>
      <c r="G48" s="56"/>
      <c r="H48" s="57" t="s">
        <v>397</v>
      </c>
    </row>
    <row r="49" spans="1:11" ht="14.25" customHeight="1" x14ac:dyDescent="0.3">
      <c r="A49" s="45"/>
      <c r="B49" s="46"/>
      <c r="C49" s="47"/>
      <c r="D49" s="47"/>
      <c r="E49" s="47"/>
      <c r="F49" s="47"/>
      <c r="G49" s="48"/>
      <c r="H49" s="49"/>
      <c r="J49" s="50"/>
      <c r="K49" s="50"/>
    </row>
    <row r="50" spans="1:11" ht="34.950000000000003" customHeight="1" x14ac:dyDescent="0.3">
      <c r="A50" s="175" t="s">
        <v>247</v>
      </c>
      <c r="B50" s="175"/>
      <c r="C50" s="175"/>
      <c r="D50" s="175"/>
      <c r="E50" s="175"/>
      <c r="F50" s="175"/>
      <c r="G50" s="175"/>
      <c r="H50" s="17"/>
      <c r="J50" s="15" t="s">
        <v>0</v>
      </c>
    </row>
    <row r="51" spans="1:11" ht="45.75" customHeight="1" x14ac:dyDescent="0.3">
      <c r="A51" s="179" t="s">
        <v>249</v>
      </c>
      <c r="B51" s="180"/>
      <c r="C51" s="180"/>
      <c r="D51" s="180"/>
      <c r="E51" s="180"/>
      <c r="F51" s="180"/>
      <c r="G51" s="181"/>
      <c r="H51" s="17"/>
      <c r="J51" s="15" t="s">
        <v>0</v>
      </c>
    </row>
    <row r="52" spans="1:11" ht="14.25" customHeight="1" x14ac:dyDescent="0.3">
      <c r="A52" s="45"/>
      <c r="B52" s="46"/>
      <c r="C52" s="47"/>
      <c r="D52" s="47"/>
      <c r="E52" s="47"/>
      <c r="F52" s="47"/>
      <c r="G52" s="48"/>
      <c r="H52" s="49"/>
      <c r="J52" s="50"/>
      <c r="K52" s="50"/>
    </row>
    <row r="53" spans="1:11" x14ac:dyDescent="0.3">
      <c r="A53" s="12"/>
      <c r="B53" s="12"/>
      <c r="C53" s="12"/>
      <c r="D53" s="12"/>
      <c r="E53" s="12"/>
      <c r="F53" s="12"/>
    </row>
    <row r="54" spans="1:11" ht="14.4" customHeight="1" x14ac:dyDescent="0.3">
      <c r="A54" s="12"/>
      <c r="E54" s="13"/>
      <c r="F54" s="13"/>
    </row>
    <row r="55" spans="1:11" ht="81.75" customHeight="1" x14ac:dyDescent="0.3">
      <c r="A55" s="12"/>
      <c r="B55" s="193"/>
      <c r="C55" s="193"/>
      <c r="D55" s="64"/>
      <c r="E55" s="193"/>
      <c r="F55" s="193"/>
      <c r="G55" s="193"/>
      <c r="H55" s="193"/>
      <c r="I55" s="15" t="s">
        <v>0</v>
      </c>
    </row>
    <row r="56" spans="1:11" x14ac:dyDescent="0.3">
      <c r="A56" s="12"/>
      <c r="C56" s="83"/>
      <c r="E56" s="194"/>
      <c r="F56" s="194"/>
      <c r="G56" s="194"/>
      <c r="H56" s="83"/>
    </row>
    <row r="57" spans="1:11" ht="14.4" customHeight="1" x14ac:dyDescent="0.3">
      <c r="A57" s="12"/>
      <c r="B57" s="13"/>
      <c r="C57" s="13"/>
      <c r="D57" s="13"/>
      <c r="E57" s="194"/>
      <c r="F57" s="194"/>
      <c r="G57" s="194"/>
      <c r="H57" s="13"/>
    </row>
    <row r="58" spans="1:11" ht="15" customHeight="1" x14ac:dyDescent="0.3">
      <c r="A58" s="12"/>
      <c r="B58" s="13"/>
      <c r="C58" s="13"/>
      <c r="D58" s="13" t="s">
        <v>0</v>
      </c>
      <c r="E58" s="13"/>
      <c r="F58" s="13"/>
      <c r="G58" s="13"/>
      <c r="H58" s="13"/>
      <c r="J58" s="15" t="s">
        <v>0</v>
      </c>
    </row>
    <row r="59" spans="1:11" ht="14.4" customHeight="1" x14ac:dyDescent="0.3">
      <c r="A59" s="12"/>
      <c r="B59" s="13"/>
      <c r="C59" s="13"/>
      <c r="D59" s="13"/>
      <c r="E59" s="13"/>
      <c r="F59" s="13"/>
      <c r="G59" s="13"/>
      <c r="H59" s="13"/>
    </row>
    <row r="60" spans="1:11" ht="14.4" customHeight="1" x14ac:dyDescent="0.3">
      <c r="A60" s="12"/>
      <c r="B60" s="13"/>
      <c r="C60" s="13"/>
      <c r="D60" s="13"/>
      <c r="E60" s="13"/>
      <c r="F60" s="13"/>
      <c r="G60" s="13"/>
      <c r="H60" s="13"/>
    </row>
    <row r="61" spans="1:11" x14ac:dyDescent="0.3">
      <c r="A61" s="12"/>
      <c r="B61" s="12"/>
      <c r="C61" s="12"/>
      <c r="D61" s="12"/>
      <c r="E61" s="12"/>
      <c r="F61" s="12"/>
      <c r="G61" s="12"/>
      <c r="H61" s="12"/>
    </row>
    <row r="62" spans="1:11" ht="15.6" x14ac:dyDescent="0.3">
      <c r="A62" s="12"/>
      <c r="B62" s="13"/>
      <c r="C62" s="13"/>
      <c r="D62" s="13" t="s">
        <v>0</v>
      </c>
      <c r="E62" s="13"/>
      <c r="F62" s="13"/>
      <c r="G62" s="13"/>
      <c r="H62" s="13"/>
    </row>
    <row r="63" spans="1:11" ht="15.6" x14ac:dyDescent="0.3">
      <c r="A63" s="12"/>
      <c r="B63" s="13"/>
      <c r="C63" s="13"/>
      <c r="D63" s="13" t="s">
        <v>0</v>
      </c>
      <c r="E63" s="13"/>
      <c r="F63" s="13"/>
      <c r="G63" s="13"/>
      <c r="H63" s="13"/>
    </row>
    <row r="64" spans="1:11" ht="15.6" x14ac:dyDescent="0.3">
      <c r="A64" s="12"/>
      <c r="B64" s="13"/>
      <c r="C64" s="13"/>
      <c r="D64" s="12"/>
      <c r="E64" s="13"/>
      <c r="F64" s="13"/>
      <c r="G64" s="13"/>
      <c r="H64" s="13"/>
    </row>
    <row r="65" spans="1:8" x14ac:dyDescent="0.3">
      <c r="A65" s="12"/>
      <c r="B65" s="12"/>
      <c r="C65" s="12"/>
      <c r="D65" s="12"/>
      <c r="E65" s="12"/>
      <c r="F65" s="12"/>
    </row>
    <row r="66" spans="1:8" ht="78.75" customHeight="1" x14ac:dyDescent="0.3">
      <c r="A66" s="12"/>
      <c r="B66" s="193"/>
      <c r="C66" s="193"/>
      <c r="D66" s="12"/>
      <c r="E66" s="193"/>
      <c r="F66" s="193"/>
      <c r="G66" s="193"/>
      <c r="H66" s="193"/>
    </row>
    <row r="67" spans="1:8" ht="15" customHeight="1" x14ac:dyDescent="0.3">
      <c r="A67" s="12"/>
      <c r="C67" s="83"/>
      <c r="D67" s="12"/>
      <c r="E67" s="194"/>
      <c r="F67" s="194"/>
      <c r="G67" s="194"/>
      <c r="H67" s="83"/>
    </row>
    <row r="68" spans="1:8" ht="15.6" x14ac:dyDescent="0.3">
      <c r="A68" s="12"/>
      <c r="B68" s="13"/>
      <c r="C68" s="13"/>
      <c r="D68" s="12"/>
      <c r="E68" s="194"/>
      <c r="F68" s="194"/>
      <c r="G68" s="194"/>
      <c r="H68" s="13"/>
    </row>
    <row r="69" spans="1:8" ht="15.6" x14ac:dyDescent="0.3">
      <c r="A69" s="12"/>
      <c r="B69" s="13"/>
      <c r="C69" s="13"/>
      <c r="D69" s="12"/>
      <c r="E69" s="13"/>
      <c r="F69" s="13"/>
      <c r="G69" s="13"/>
      <c r="H69" s="13"/>
    </row>
    <row r="70" spans="1:8" ht="15.6" x14ac:dyDescent="0.3">
      <c r="A70" s="12"/>
      <c r="B70" s="13"/>
      <c r="C70" s="13"/>
      <c r="D70" s="12"/>
      <c r="E70" s="13"/>
      <c r="F70" s="13"/>
      <c r="G70" s="13"/>
      <c r="H70" s="13"/>
    </row>
    <row r="71" spans="1:8" ht="15.6" x14ac:dyDescent="0.3">
      <c r="A71" s="12"/>
      <c r="B71" s="13"/>
      <c r="C71" s="13"/>
      <c r="D71" s="12"/>
      <c r="E71" s="13"/>
      <c r="F71" s="13"/>
      <c r="G71" s="13"/>
      <c r="H71" s="13"/>
    </row>
    <row r="72" spans="1:8" ht="14.4" customHeight="1" x14ac:dyDescent="0.3">
      <c r="A72" s="12"/>
      <c r="B72" s="12"/>
      <c r="C72" s="12"/>
      <c r="D72" s="12"/>
      <c r="E72" s="12"/>
      <c r="F72" s="12"/>
      <c r="G72" s="12"/>
      <c r="H72" s="12"/>
    </row>
    <row r="73" spans="1:8" ht="15.6" x14ac:dyDescent="0.3">
      <c r="A73" s="12"/>
      <c r="B73" s="13"/>
      <c r="C73" s="13"/>
      <c r="D73" s="12"/>
      <c r="E73" s="13"/>
      <c r="F73" s="13"/>
      <c r="G73" s="13"/>
      <c r="H73" s="13"/>
    </row>
    <row r="74" spans="1:8" ht="15.6" x14ac:dyDescent="0.3">
      <c r="A74" s="12"/>
      <c r="B74" s="13"/>
      <c r="C74" s="13"/>
      <c r="D74" s="12"/>
      <c r="E74" s="13"/>
      <c r="F74" s="13"/>
      <c r="G74" s="13"/>
      <c r="H74" s="13"/>
    </row>
    <row r="75" spans="1:8" ht="15.6" x14ac:dyDescent="0.3">
      <c r="A75" s="12"/>
      <c r="B75" s="13"/>
      <c r="C75" s="13"/>
      <c r="D75" s="12"/>
      <c r="E75" s="13"/>
      <c r="F75" s="13"/>
      <c r="G75" s="13"/>
      <c r="H75" s="13"/>
    </row>
    <row r="76" spans="1:8" x14ac:dyDescent="0.3">
      <c r="A76" s="12"/>
      <c r="B76" s="12"/>
      <c r="C76" s="12"/>
      <c r="D76" s="12"/>
      <c r="E76" s="12"/>
      <c r="F76" s="12"/>
    </row>
    <row r="77" spans="1:8" ht="80.25" customHeight="1" x14ac:dyDescent="0.3">
      <c r="A77" s="12"/>
      <c r="B77" s="193"/>
      <c r="C77" s="193"/>
      <c r="D77" s="12"/>
      <c r="E77" s="193"/>
      <c r="F77" s="193"/>
      <c r="G77" s="193"/>
      <c r="H77" s="193"/>
    </row>
    <row r="78" spans="1:8" x14ac:dyDescent="0.3">
      <c r="A78" s="12"/>
      <c r="C78" s="83"/>
      <c r="D78" s="12"/>
      <c r="E78" s="194"/>
      <c r="F78" s="194"/>
      <c r="G78" s="194"/>
      <c r="H78" s="83"/>
    </row>
    <row r="79" spans="1:8" ht="15.6" x14ac:dyDescent="0.3">
      <c r="A79" s="12"/>
      <c r="B79" s="13"/>
      <c r="C79" s="13"/>
      <c r="D79" s="12"/>
      <c r="E79" s="194"/>
      <c r="F79" s="194"/>
      <c r="G79" s="194"/>
      <c r="H79" s="13"/>
    </row>
    <row r="80" spans="1:8" ht="15.6" x14ac:dyDescent="0.3">
      <c r="A80" s="12"/>
      <c r="B80" s="13"/>
      <c r="C80" s="13"/>
      <c r="D80" s="12"/>
      <c r="E80" s="13"/>
      <c r="F80" s="13"/>
      <c r="G80" s="13"/>
      <c r="H80" s="13"/>
    </row>
    <row r="81" spans="1:12" ht="15.6" x14ac:dyDescent="0.3">
      <c r="A81" s="12"/>
      <c r="B81" s="13"/>
      <c r="C81" s="13"/>
      <c r="D81" s="12"/>
      <c r="E81" s="13"/>
      <c r="F81" s="13"/>
      <c r="G81" s="13"/>
      <c r="H81" s="13"/>
    </row>
    <row r="82" spans="1:12" ht="61.5" customHeight="1" x14ac:dyDescent="0.3">
      <c r="A82" s="12"/>
      <c r="B82" s="13"/>
      <c r="C82" s="13"/>
      <c r="D82" s="12"/>
      <c r="E82" s="13"/>
      <c r="F82" s="13"/>
      <c r="G82" s="13"/>
      <c r="H82" s="13"/>
    </row>
    <row r="83" spans="1:12" x14ac:dyDescent="0.3">
      <c r="A83" s="12"/>
      <c r="B83" s="12"/>
      <c r="C83" s="12"/>
      <c r="D83" s="12"/>
      <c r="E83" s="12"/>
      <c r="F83" s="12"/>
      <c r="G83" s="12"/>
      <c r="H83" s="12"/>
    </row>
    <row r="84" spans="1:12" ht="15.6" x14ac:dyDescent="0.3">
      <c r="A84" s="12"/>
      <c r="B84" s="13"/>
      <c r="C84" s="13"/>
      <c r="D84" s="12"/>
      <c r="E84" s="13"/>
      <c r="F84" s="13"/>
      <c r="G84" s="13"/>
      <c r="H84" s="13"/>
    </row>
    <row r="85" spans="1:12" ht="15.6" x14ac:dyDescent="0.3">
      <c r="B85" s="13"/>
      <c r="C85" s="13"/>
      <c r="E85" s="13"/>
      <c r="F85" s="13"/>
      <c r="G85" s="13"/>
      <c r="H85" s="13"/>
    </row>
    <row r="86" spans="1:12" s="58" customFormat="1" ht="15.6" x14ac:dyDescent="0.3">
      <c r="A86" s="15"/>
      <c r="B86" s="13"/>
      <c r="C86" s="13"/>
      <c r="D86" s="59"/>
      <c r="E86" s="13"/>
      <c r="F86" s="13"/>
      <c r="G86" s="13"/>
      <c r="H86" s="13"/>
      <c r="I86" s="15"/>
      <c r="J86" s="15"/>
      <c r="K86" s="15"/>
      <c r="L86" s="15"/>
    </row>
    <row r="87" spans="1:12" s="58" customFormat="1" x14ac:dyDescent="0.3">
      <c r="A87" s="15"/>
      <c r="B87" s="12"/>
      <c r="C87" s="12"/>
      <c r="E87" s="83"/>
      <c r="F87" s="83"/>
      <c r="G87" s="15"/>
      <c r="H87" s="15"/>
      <c r="I87" s="15"/>
      <c r="J87" s="15"/>
      <c r="K87" s="15"/>
      <c r="L87" s="15"/>
    </row>
    <row r="88" spans="1:12" ht="84" customHeight="1" x14ac:dyDescent="0.3">
      <c r="B88" s="193"/>
      <c r="C88" s="193"/>
      <c r="E88" s="193"/>
      <c r="F88" s="193"/>
      <c r="G88" s="193"/>
      <c r="H88" s="193"/>
    </row>
    <row r="89" spans="1:12" s="58" customFormat="1" x14ac:dyDescent="0.3">
      <c r="A89" s="15"/>
      <c r="B89" s="15"/>
      <c r="C89" s="83"/>
      <c r="D89" s="59"/>
      <c r="E89" s="194"/>
      <c r="F89" s="194"/>
      <c r="G89" s="194"/>
      <c r="H89" s="83"/>
      <c r="I89" s="15"/>
      <c r="J89" s="15"/>
      <c r="K89" s="15"/>
      <c r="L89" s="15"/>
    </row>
    <row r="90" spans="1:12" s="58" customFormat="1" ht="15.6" x14ac:dyDescent="0.3">
      <c r="A90" s="15"/>
      <c r="B90" s="13"/>
      <c r="C90" s="13"/>
      <c r="E90" s="194"/>
      <c r="F90" s="194"/>
      <c r="G90" s="194"/>
      <c r="H90" s="13"/>
      <c r="I90" s="15"/>
      <c r="J90" s="15"/>
      <c r="K90" s="15"/>
      <c r="L90" s="15"/>
    </row>
    <row r="91" spans="1:12" ht="15.6" x14ac:dyDescent="0.3">
      <c r="B91" s="13"/>
      <c r="C91" s="13"/>
      <c r="E91" s="13"/>
      <c r="F91" s="13"/>
      <c r="G91" s="13"/>
      <c r="H91" s="13"/>
    </row>
    <row r="92" spans="1:12" s="58" customFormat="1" ht="15.6" x14ac:dyDescent="0.3">
      <c r="A92" s="15"/>
      <c r="B92" s="13"/>
      <c r="C92" s="13"/>
      <c r="D92" s="59"/>
      <c r="E92" s="13"/>
      <c r="F92" s="13"/>
      <c r="G92" s="13"/>
      <c r="H92" s="13"/>
      <c r="I92" s="15"/>
      <c r="J92" s="15"/>
      <c r="K92" s="15"/>
      <c r="L92" s="15"/>
    </row>
    <row r="93" spans="1:12" s="58" customFormat="1" ht="14.4" customHeight="1" x14ac:dyDescent="0.3">
      <c r="A93" s="15"/>
      <c r="B93" s="13"/>
      <c r="C93" s="13"/>
      <c r="E93" s="13"/>
      <c r="F93" s="13"/>
      <c r="G93" s="13"/>
      <c r="H93" s="13"/>
      <c r="I93" s="15"/>
      <c r="J93" s="15"/>
      <c r="K93" s="15"/>
      <c r="L93" s="15"/>
    </row>
    <row r="94" spans="1:12" x14ac:dyDescent="0.3">
      <c r="B94" s="12"/>
      <c r="C94" s="12"/>
      <c r="E94" s="12"/>
      <c r="F94" s="12"/>
      <c r="G94" s="12"/>
      <c r="H94" s="12"/>
    </row>
    <row r="95" spans="1:12" ht="15.6" x14ac:dyDescent="0.3">
      <c r="B95" s="13"/>
      <c r="C95" s="13"/>
      <c r="E95" s="13"/>
      <c r="F95" s="13"/>
      <c r="G95" s="13"/>
      <c r="H95" s="13"/>
    </row>
    <row r="96" spans="1:12" ht="15.6" x14ac:dyDescent="0.3">
      <c r="B96" s="13"/>
      <c r="C96" s="13"/>
      <c r="E96" s="13"/>
      <c r="F96" s="13"/>
      <c r="G96" s="13"/>
      <c r="H96" s="13"/>
    </row>
    <row r="97" spans="2:8" ht="15.6" x14ac:dyDescent="0.3">
      <c r="B97" s="13"/>
      <c r="C97" s="13"/>
      <c r="E97" s="13"/>
      <c r="F97" s="13"/>
      <c r="G97" s="13"/>
      <c r="H97" s="13"/>
    </row>
    <row r="98" spans="2:8" x14ac:dyDescent="0.3">
      <c r="C98" s="83"/>
      <c r="E98" s="83"/>
      <c r="F98" s="83"/>
    </row>
    <row r="99" spans="2:8" x14ac:dyDescent="0.3">
      <c r="E99" s="83"/>
      <c r="F99" s="83"/>
    </row>
  </sheetData>
  <sheetProtection formatRows="0" selectLockedCells="1"/>
  <protectedRanges>
    <protectedRange sqref="G43:G45 A51" name="Range5_1"/>
    <protectedRange sqref="H28 G32:H35 H31" name="Range4_1"/>
    <protectedRange sqref="A13:G22" name="Range2_2"/>
    <protectedRange sqref="D6 D8:D9" name="Range1_1"/>
    <protectedRange sqref="G36:H36" name="Range4_2_1"/>
  </protectedRanges>
  <mergeCells count="45">
    <mergeCell ref="B9:C9"/>
    <mergeCell ref="C1:H1"/>
    <mergeCell ref="A2:H2"/>
    <mergeCell ref="A3:H3"/>
    <mergeCell ref="B6:C6"/>
    <mergeCell ref="B8:C8"/>
    <mergeCell ref="A15:G15"/>
    <mergeCell ref="A16:G16"/>
    <mergeCell ref="A17:G17"/>
    <mergeCell ref="A18:G18"/>
    <mergeCell ref="A12:H12"/>
    <mergeCell ref="A13:G13"/>
    <mergeCell ref="A14:G14"/>
    <mergeCell ref="B27:F27"/>
    <mergeCell ref="A29:C29"/>
    <mergeCell ref="I31:J32"/>
    <mergeCell ref="B33:C33"/>
    <mergeCell ref="A19:G19"/>
    <mergeCell ref="A20:G20"/>
    <mergeCell ref="A21:G21"/>
    <mergeCell ref="A22:G22"/>
    <mergeCell ref="A24:E24"/>
    <mergeCell ref="B25:D25"/>
    <mergeCell ref="B26:D26"/>
    <mergeCell ref="E89:G89"/>
    <mergeCell ref="E90:G90"/>
    <mergeCell ref="B66:C66"/>
    <mergeCell ref="E66:H66"/>
    <mergeCell ref="E67:G67"/>
    <mergeCell ref="B88:C88"/>
    <mergeCell ref="E88:H88"/>
    <mergeCell ref="B77:C77"/>
    <mergeCell ref="E77:H77"/>
    <mergeCell ref="E78:G78"/>
    <mergeCell ref="E79:G79"/>
    <mergeCell ref="A39:G39"/>
    <mergeCell ref="A40:G40"/>
    <mergeCell ref="A42:B42"/>
    <mergeCell ref="A50:G50"/>
    <mergeCell ref="A51:G51"/>
    <mergeCell ref="B55:C55"/>
    <mergeCell ref="E55:H55"/>
    <mergeCell ref="E56:G56"/>
    <mergeCell ref="E57:G57"/>
    <mergeCell ref="E68:G68"/>
  </mergeCells>
  <conditionalFormatting sqref="D86 D89 D92">
    <cfRule type="cellIs" dxfId="1" priority="2" stopIfTrue="1" operator="equal">
      <formula>"ERROR"</formula>
    </cfRule>
  </conditionalFormatting>
  <conditionalFormatting sqref="G6:G7">
    <cfRule type="cellIs" dxfId="0" priority="1" operator="equal">
      <formula>"ERROR - Please Seect from the drop down menue to the left."</formula>
    </cfRule>
  </conditionalFormatting>
  <dataValidations count="3">
    <dataValidation type="decimal" operator="greaterThanOrEqual" allowBlank="1" showInputMessage="1" showErrorMessage="1" sqref="G43:G45 H28" xr:uid="{DE742F5D-0A0A-4F66-B5D5-96D4D6DAE122}">
      <formula1>0</formula1>
    </dataValidation>
    <dataValidation type="whole" operator="greaterThan" allowBlank="1" showInputMessage="1" showErrorMessage="1" sqref="H32:H34" xr:uid="{96DDF161-EC27-4D08-BC63-84BC0BAE8A8C}">
      <formula1>0</formula1>
    </dataValidation>
    <dataValidation type="whole" operator="greaterThanOrEqual" allowBlank="1" showInputMessage="1" showErrorMessage="1" sqref="H35:H36 H31" xr:uid="{785EE1E1-F2BA-42B0-B442-19AEC4F4266B}">
      <formula1>0</formula1>
    </dataValidation>
  </dataValidations>
  <hyperlinks>
    <hyperlink ref="B34" r:id="rId1" location="page=16" xr:uid="{731E197C-C05D-46C0-81D8-17E626A59498}"/>
    <hyperlink ref="B31" r:id="rId2" xr:uid="{9AD56D7F-B859-4A40-A4BA-5C813F69C7F7}"/>
    <hyperlink ref="B33" r:id="rId3" location="page=14" display=" Student Location Factor (SLF) " xr:uid="{2BEFB4FB-FE94-4615-AB00-D2387CCF6729}"/>
    <hyperlink ref="B35" r:id="rId4" xr:uid="{24C75A24-01BC-4A14-84B3-F12D0084FDC7}"/>
    <hyperlink ref="B26" location="'(3) Reference STF-SLF-SSLF'!A1" display="From within the FNSR, the transportation portion derived from the SLF, SSLF, and STF" xr:uid="{6E5A3BD1-8ABA-420A-A170-FA84515A99F6}"/>
    <hyperlink ref="B26:D26" location="'(3) Reference STF-SLF-SSLF'!A1" display="From within the FNSR, the transportation portion derived from the SLF, SSLF, and STF" xr:uid="{033593ED-1849-4564-AB2F-9C8C2B0FFFE2}"/>
    <hyperlink ref="B33:C33" r:id="rId5" location="page=15" display=" Student Location Factor (SLF)" xr:uid="{04F1908B-0796-4C6B-92F5-615B269670FD}"/>
  </hyperlinks>
  <printOptions horizontalCentered="1"/>
  <pageMargins left="0" right="0" top="0.59055118110236227" bottom="0.59055118110236227" header="0" footer="0"/>
  <pageSetup scale="57" orientation="portrait" r:id="rId6"/>
  <rowBreaks count="1" manualBreakCount="1">
    <brk id="30" max="7" man="1"/>
  </rowBreaks>
  <drawing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1297-1766-4399-8884-86D60270885B}">
  <dimension ref="A1:L29"/>
  <sheetViews>
    <sheetView zoomScale="110" zoomScaleNormal="110" workbookViewId="0">
      <selection activeCell="J29" sqref="J29"/>
    </sheetView>
  </sheetViews>
  <sheetFormatPr defaultRowHeight="14.4" x14ac:dyDescent="0.3"/>
  <cols>
    <col min="1" max="1" width="23.88671875" customWidth="1"/>
    <col min="2" max="2" width="28.44140625" customWidth="1"/>
    <col min="3" max="3" width="17.33203125" customWidth="1"/>
    <col min="4" max="5" width="11.33203125" customWidth="1"/>
    <col min="6" max="6" width="12.88671875" customWidth="1"/>
    <col min="7" max="7" width="16.33203125" customWidth="1"/>
    <col min="8" max="8" width="27.88671875" customWidth="1"/>
    <col min="9" max="9" width="14.5546875" customWidth="1"/>
    <col min="10" max="10" width="13" customWidth="1"/>
    <col min="11" max="12" width="11.33203125" customWidth="1"/>
    <col min="14" max="14" width="35.44140625" customWidth="1"/>
  </cols>
  <sheetData>
    <row r="1" spans="1:12" x14ac:dyDescent="0.3">
      <c r="A1" s="1" t="s">
        <v>0</v>
      </c>
      <c r="B1" s="1"/>
      <c r="C1" s="1"/>
      <c r="D1" s="1"/>
      <c r="E1" s="1"/>
      <c r="F1" s="1"/>
      <c r="G1" s="1"/>
      <c r="H1" s="1"/>
      <c r="I1" s="1"/>
      <c r="J1" s="1"/>
      <c r="K1" s="1"/>
      <c r="L1" s="1"/>
    </row>
    <row r="2" spans="1:12" ht="23.4" customHeight="1" x14ac:dyDescent="0.45">
      <c r="A2" s="198" t="s">
        <v>497</v>
      </c>
      <c r="B2" s="198"/>
      <c r="C2" s="198"/>
      <c r="D2" s="1"/>
      <c r="E2" s="1"/>
      <c r="F2" s="1"/>
      <c r="G2" s="1"/>
      <c r="H2" s="1"/>
      <c r="I2" s="1"/>
      <c r="J2" s="1"/>
      <c r="K2" s="1"/>
      <c r="L2" s="1"/>
    </row>
    <row r="3" spans="1:12" x14ac:dyDescent="0.3">
      <c r="A3" s="199" t="s">
        <v>13</v>
      </c>
      <c r="B3" s="199"/>
      <c r="C3" s="9">
        <v>45443</v>
      </c>
      <c r="D3" s="1"/>
      <c r="E3" s="1"/>
      <c r="F3" s="1"/>
      <c r="G3" s="1"/>
      <c r="H3" s="1"/>
      <c r="I3" s="1"/>
      <c r="J3" s="1"/>
      <c r="K3" s="1"/>
      <c r="L3" s="1"/>
    </row>
    <row r="4" spans="1:12" x14ac:dyDescent="0.3">
      <c r="A4" s="1" t="s">
        <v>0</v>
      </c>
      <c r="B4" s="1" t="s">
        <v>0</v>
      </c>
      <c r="C4" s="1"/>
      <c r="D4" s="1"/>
      <c r="E4" s="1"/>
      <c r="F4" s="1"/>
      <c r="G4" s="1"/>
      <c r="H4" s="1"/>
      <c r="I4" s="1"/>
      <c r="J4" s="1"/>
      <c r="K4" s="1"/>
      <c r="L4" s="1"/>
    </row>
    <row r="5" spans="1:12" x14ac:dyDescent="0.3">
      <c r="A5" s="209" t="s">
        <v>14</v>
      </c>
      <c r="B5" s="210"/>
      <c r="C5" s="211"/>
      <c r="D5" s="1"/>
      <c r="E5" s="1"/>
      <c r="F5" s="1"/>
      <c r="G5" s="1"/>
      <c r="H5" s="1"/>
      <c r="I5" s="1"/>
      <c r="J5" s="1"/>
      <c r="K5" s="1"/>
      <c r="L5" s="1"/>
    </row>
    <row r="6" spans="1:12" ht="14.4" customHeight="1" x14ac:dyDescent="0.3">
      <c r="A6" s="200" t="s">
        <v>30</v>
      </c>
      <c r="B6" s="201"/>
      <c r="C6" s="202"/>
      <c r="D6" s="1"/>
      <c r="E6" s="1"/>
      <c r="F6" s="1"/>
      <c r="G6" s="1"/>
      <c r="H6" s="1"/>
      <c r="I6" s="1"/>
      <c r="J6" s="1"/>
      <c r="K6" s="1"/>
      <c r="L6" s="1"/>
    </row>
    <row r="7" spans="1:12" ht="31.95" customHeight="1" x14ac:dyDescent="0.3">
      <c r="A7" s="212" t="s">
        <v>364</v>
      </c>
      <c r="B7" s="213"/>
      <c r="C7" s="214"/>
      <c r="D7" s="1"/>
      <c r="E7" s="1"/>
      <c r="F7" s="1"/>
      <c r="G7" s="1"/>
      <c r="H7" s="1"/>
      <c r="I7" s="1"/>
      <c r="J7" s="1"/>
      <c r="K7" s="1"/>
      <c r="L7" s="1"/>
    </row>
    <row r="8" spans="1:12" x14ac:dyDescent="0.3">
      <c r="A8" s="1"/>
      <c r="B8" s="1"/>
      <c r="C8" s="1"/>
      <c r="D8" s="1"/>
      <c r="E8" s="1"/>
      <c r="F8" s="1"/>
      <c r="G8" s="1"/>
      <c r="H8" s="1"/>
      <c r="I8" s="1"/>
      <c r="J8" s="1"/>
      <c r="K8" s="1"/>
      <c r="L8" s="1"/>
    </row>
    <row r="9" spans="1:12" ht="21" customHeight="1" x14ac:dyDescent="0.3">
      <c r="A9" s="66" t="s">
        <v>15</v>
      </c>
      <c r="B9" s="203">
        <f>'(1) Spending Report  '!D6</f>
        <v>0</v>
      </c>
      <c r="C9" s="204"/>
      <c r="D9" s="215"/>
      <c r="E9" s="216"/>
      <c r="F9" s="1"/>
      <c r="G9" s="1"/>
      <c r="H9" s="1"/>
      <c r="I9" s="1"/>
      <c r="J9" s="1"/>
      <c r="K9" s="1"/>
      <c r="L9" s="1"/>
    </row>
    <row r="10" spans="1:12" ht="29.4" customHeight="1" x14ac:dyDescent="0.3">
      <c r="A10" s="66" t="s">
        <v>16</v>
      </c>
      <c r="B10" s="203" t="str">
        <f>IFERROR(INDEX('Auto Populate Table'!B3:B62, MATCH($B$9,'Auto Populate Table'!A3:A62, 0)), "Please select School District number on the (1) Revenue - Spending Report  sheet.")</f>
        <v>Please select School District number on the (1) Revenue - Spending Report  sheet.</v>
      </c>
      <c r="C10" s="204"/>
      <c r="D10" s="215"/>
      <c r="E10" s="216"/>
      <c r="F10" s="1"/>
      <c r="G10" s="1"/>
      <c r="H10" s="1"/>
      <c r="I10" s="1"/>
      <c r="J10" s="1"/>
      <c r="K10" s="1"/>
      <c r="L10" s="1"/>
    </row>
    <row r="11" spans="1:12" x14ac:dyDescent="0.3">
      <c r="A11" s="1"/>
      <c r="B11" s="1"/>
      <c r="C11" s="1"/>
      <c r="D11" s="1"/>
      <c r="E11" s="1"/>
      <c r="F11" s="1"/>
      <c r="G11" s="1"/>
      <c r="H11" s="1"/>
      <c r="I11" s="1"/>
      <c r="J11" s="1"/>
      <c r="K11" s="1"/>
      <c r="L11" s="1"/>
    </row>
    <row r="12" spans="1:12" ht="30" customHeight="1" x14ac:dyDescent="0.3">
      <c r="A12" s="205"/>
      <c r="B12" s="206"/>
      <c r="C12" s="207"/>
      <c r="D12" s="208" t="s">
        <v>338</v>
      </c>
      <c r="E12" s="196"/>
      <c r="F12" s="197"/>
      <c r="G12" s="205"/>
      <c r="H12" s="207"/>
      <c r="I12" s="195" t="s">
        <v>17</v>
      </c>
      <c r="J12" s="196"/>
      <c r="K12" s="196"/>
      <c r="L12" s="197"/>
    </row>
    <row r="13" spans="1:12" ht="104.4" customHeight="1" x14ac:dyDescent="0.3">
      <c r="A13" s="65" t="s">
        <v>492</v>
      </c>
      <c r="B13" s="65" t="s">
        <v>334</v>
      </c>
      <c r="C13" s="65" t="s">
        <v>362</v>
      </c>
      <c r="D13" s="65" t="s">
        <v>335</v>
      </c>
      <c r="E13" s="65" t="s">
        <v>336</v>
      </c>
      <c r="F13" s="65" t="s">
        <v>337</v>
      </c>
      <c r="G13" s="65" t="s">
        <v>333</v>
      </c>
      <c r="H13" s="65" t="s">
        <v>332</v>
      </c>
      <c r="I13" s="65" t="s">
        <v>328</v>
      </c>
      <c r="J13" s="65" t="s">
        <v>329</v>
      </c>
      <c r="K13" s="65" t="s">
        <v>330</v>
      </c>
      <c r="L13" s="65" t="s">
        <v>331</v>
      </c>
    </row>
    <row r="14" spans="1:12" ht="30" customHeight="1" x14ac:dyDescent="0.3">
      <c r="A14" s="114"/>
      <c r="B14" s="115"/>
      <c r="C14" s="115"/>
      <c r="D14" s="115"/>
      <c r="E14" s="115"/>
      <c r="F14" s="115"/>
      <c r="G14" s="116"/>
      <c r="H14" s="115"/>
      <c r="I14" s="115"/>
      <c r="J14" s="117"/>
      <c r="K14" s="116"/>
      <c r="L14" s="118"/>
    </row>
    <row r="15" spans="1:12" ht="30" customHeight="1" x14ac:dyDescent="0.3">
      <c r="A15" s="114"/>
      <c r="B15" s="115"/>
      <c r="C15" s="115"/>
      <c r="D15" s="115"/>
      <c r="E15" s="115"/>
      <c r="F15" s="115"/>
      <c r="G15" s="116"/>
      <c r="H15" s="115"/>
      <c r="I15" s="115"/>
      <c r="J15" s="117"/>
      <c r="K15" s="116"/>
      <c r="L15" s="118"/>
    </row>
    <row r="16" spans="1:12" ht="30" customHeight="1" x14ac:dyDescent="0.3">
      <c r="A16" s="114"/>
      <c r="B16" s="115"/>
      <c r="C16" s="115"/>
      <c r="D16" s="115"/>
      <c r="E16" s="115"/>
      <c r="F16" s="115"/>
      <c r="G16" s="116"/>
      <c r="H16" s="115"/>
      <c r="I16" s="115"/>
      <c r="J16" s="117"/>
      <c r="K16" s="116"/>
      <c r="L16" s="118"/>
    </row>
    <row r="17" spans="1:12" ht="30" customHeight="1" x14ac:dyDescent="0.3">
      <c r="A17" s="114"/>
      <c r="B17" s="115"/>
      <c r="C17" s="115"/>
      <c r="D17" s="115"/>
      <c r="E17" s="115"/>
      <c r="F17" s="115"/>
      <c r="G17" s="116"/>
      <c r="H17" s="115"/>
      <c r="I17" s="115"/>
      <c r="J17" s="117"/>
      <c r="K17" s="116"/>
      <c r="L17" s="118"/>
    </row>
    <row r="18" spans="1:12" ht="30" customHeight="1" x14ac:dyDescent="0.3">
      <c r="A18" s="114"/>
      <c r="B18" s="115"/>
      <c r="C18" s="115"/>
      <c r="D18" s="115"/>
      <c r="E18" s="115"/>
      <c r="F18" s="115"/>
      <c r="G18" s="116"/>
      <c r="H18" s="115"/>
      <c r="I18" s="115"/>
      <c r="J18" s="117"/>
      <c r="K18" s="116"/>
      <c r="L18" s="118"/>
    </row>
    <row r="19" spans="1:12" ht="30" customHeight="1" x14ac:dyDescent="0.3">
      <c r="A19" s="114"/>
      <c r="B19" s="115"/>
      <c r="C19" s="115"/>
      <c r="D19" s="115"/>
      <c r="E19" s="115"/>
      <c r="F19" s="115"/>
      <c r="G19" s="116"/>
      <c r="H19" s="115"/>
      <c r="I19" s="115"/>
      <c r="J19" s="117"/>
      <c r="K19" s="116"/>
      <c r="L19" s="118"/>
    </row>
    <row r="20" spans="1:12" ht="30" customHeight="1" x14ac:dyDescent="0.3">
      <c r="A20" s="114"/>
      <c r="B20" s="115"/>
      <c r="C20" s="115"/>
      <c r="D20" s="115"/>
      <c r="E20" s="115"/>
      <c r="F20" s="115"/>
      <c r="G20" s="116"/>
      <c r="H20" s="115"/>
      <c r="I20" s="115"/>
      <c r="J20" s="117"/>
      <c r="K20" s="116"/>
      <c r="L20" s="118"/>
    </row>
    <row r="21" spans="1:12" ht="30" customHeight="1" x14ac:dyDescent="0.3">
      <c r="A21" s="114"/>
      <c r="B21" s="115"/>
      <c r="C21" s="115"/>
      <c r="D21" s="115"/>
      <c r="E21" s="115"/>
      <c r="F21" s="115"/>
      <c r="G21" s="116"/>
      <c r="H21" s="115"/>
      <c r="I21" s="115"/>
      <c r="J21" s="117"/>
      <c r="K21" s="116"/>
      <c r="L21" s="118"/>
    </row>
    <row r="22" spans="1:12" ht="30" customHeight="1" x14ac:dyDescent="0.3">
      <c r="A22" s="114"/>
      <c r="B22" s="115"/>
      <c r="C22" s="115"/>
      <c r="D22" s="115"/>
      <c r="E22" s="115"/>
      <c r="F22" s="115"/>
      <c r="G22" s="116"/>
      <c r="H22" s="115"/>
      <c r="I22" s="115"/>
      <c r="J22" s="117"/>
      <c r="K22" s="116"/>
      <c r="L22" s="118"/>
    </row>
    <row r="23" spans="1:12" ht="30" customHeight="1" x14ac:dyDescent="0.3">
      <c r="A23" s="114"/>
      <c r="B23" s="115"/>
      <c r="C23" s="115"/>
      <c r="D23" s="115"/>
      <c r="E23" s="115"/>
      <c r="F23" s="115"/>
      <c r="G23" s="116"/>
      <c r="H23" s="115"/>
      <c r="I23" s="115"/>
      <c r="J23" s="117"/>
      <c r="K23" s="116"/>
      <c r="L23" s="118"/>
    </row>
    <row r="24" spans="1:12" ht="30" customHeight="1" x14ac:dyDescent="0.3">
      <c r="A24" s="114"/>
      <c r="B24" s="115"/>
      <c r="C24" s="115"/>
      <c r="D24" s="115"/>
      <c r="E24" s="115"/>
      <c r="F24" s="115"/>
      <c r="G24" s="116"/>
      <c r="H24" s="115"/>
      <c r="I24" s="115"/>
      <c r="J24" s="117"/>
      <c r="K24" s="116"/>
      <c r="L24" s="118"/>
    </row>
    <row r="25" spans="1:12" ht="30" customHeight="1" x14ac:dyDescent="0.3">
      <c r="A25" s="114"/>
      <c r="B25" s="115"/>
      <c r="C25" s="115"/>
      <c r="D25" s="115"/>
      <c r="E25" s="115"/>
      <c r="F25" s="115"/>
      <c r="G25" s="116"/>
      <c r="H25" s="115"/>
      <c r="I25" s="115"/>
      <c r="J25" s="117"/>
      <c r="K25" s="116"/>
      <c r="L25" s="118"/>
    </row>
    <row r="26" spans="1:12" ht="30" customHeight="1" x14ac:dyDescent="0.3">
      <c r="A26" s="114"/>
      <c r="B26" s="115"/>
      <c r="C26" s="115"/>
      <c r="D26" s="115"/>
      <c r="E26" s="115"/>
      <c r="F26" s="115"/>
      <c r="G26" s="116"/>
      <c r="H26" s="115"/>
      <c r="I26" s="115"/>
      <c r="J26" s="117"/>
      <c r="K26" s="116"/>
      <c r="L26" s="118"/>
    </row>
    <row r="27" spans="1:12" ht="30" customHeight="1" x14ac:dyDescent="0.3">
      <c r="A27" s="114"/>
      <c r="B27" s="115"/>
      <c r="C27" s="115"/>
      <c r="D27" s="115"/>
      <c r="E27" s="115"/>
      <c r="F27" s="115"/>
      <c r="G27" s="116"/>
      <c r="H27" s="115"/>
      <c r="I27" s="115"/>
      <c r="J27" s="117"/>
      <c r="K27" s="116"/>
      <c r="L27" s="118"/>
    </row>
    <row r="28" spans="1:12" ht="30" customHeight="1" x14ac:dyDescent="0.3">
      <c r="A28" s="114"/>
      <c r="B28" s="115"/>
      <c r="C28" s="115"/>
      <c r="D28" s="115"/>
      <c r="E28" s="115"/>
      <c r="F28" s="115"/>
      <c r="G28" s="116"/>
      <c r="H28" s="115"/>
      <c r="I28" s="115"/>
      <c r="J28" s="117"/>
      <c r="K28" s="116"/>
      <c r="L28" s="118"/>
    </row>
    <row r="29" spans="1:12" x14ac:dyDescent="0.3">
      <c r="A29" s="7" t="s">
        <v>31</v>
      </c>
      <c r="B29" s="8">
        <f>SUM(B14:B28)</f>
        <v>0</v>
      </c>
      <c r="C29" s="8">
        <f>SUM(C14:C28)</f>
        <v>0</v>
      </c>
      <c r="D29" s="8">
        <f>SUM(D14:D28)</f>
        <v>0</v>
      </c>
      <c r="E29" s="8">
        <f>SUM(E14:E28)</f>
        <v>0</v>
      </c>
      <c r="F29" s="8">
        <f>SUM(F14:F28)</f>
        <v>0</v>
      </c>
      <c r="G29" s="67">
        <f>IFERROR(AVERAGE(G14:G28),0)</f>
        <v>0</v>
      </c>
      <c r="H29" s="67">
        <f>IFERROR(AVERAGE(H14:H28),0)</f>
        <v>0</v>
      </c>
      <c r="I29" s="67">
        <f>SUM(I14:I28)</f>
        <v>0</v>
      </c>
      <c r="J29" s="67">
        <f>IFERROR(AVERAGE(J14:J28),0)</f>
        <v>0</v>
      </c>
      <c r="K29" s="8">
        <f>SUM(K14:K28)</f>
        <v>0</v>
      </c>
      <c r="L29" s="8">
        <f>SUM(L14:L28)</f>
        <v>0</v>
      </c>
    </row>
  </sheetData>
  <sheetProtection formatRows="0" selectLockedCells="1"/>
  <protectedRanges>
    <protectedRange sqref="A14:L28" name="Range2"/>
    <protectedRange sqref="N18:Q18" name="Range2_1"/>
  </protectedRanges>
  <mergeCells count="12">
    <mergeCell ref="I12:L12"/>
    <mergeCell ref="A2:C2"/>
    <mergeCell ref="A3:B3"/>
    <mergeCell ref="A6:C6"/>
    <mergeCell ref="B10:C10"/>
    <mergeCell ref="B9:C9"/>
    <mergeCell ref="A12:C12"/>
    <mergeCell ref="D12:F12"/>
    <mergeCell ref="G12:H12"/>
    <mergeCell ref="A5:C5"/>
    <mergeCell ref="A7:C7"/>
    <mergeCell ref="D9:E10"/>
  </mergeCells>
  <dataValidations count="2">
    <dataValidation type="decimal" operator="greaterThanOrEqual" allowBlank="1" showInputMessage="1" showErrorMessage="1" sqref="B14:F28 J14:L28 N14:Q18" xr:uid="{D66EE606-A6F8-433E-81DE-0C11D0805F80}">
      <formula1>0</formula1>
    </dataValidation>
    <dataValidation operator="greaterThanOrEqual" allowBlank="1" showInputMessage="1" showErrorMessage="1" sqref="G14:I28" xr:uid="{C44C9CD0-11E8-4D8A-A752-D4A403E82CB7}"/>
  </dataValidations>
  <pageMargins left="0.19685039370078741" right="0.19685039370078741" top="0.19685039370078741" bottom="0.19685039370078741"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C433-C1BC-4DFE-8AE6-0F3065E96701}">
  <dimension ref="A1:O29"/>
  <sheetViews>
    <sheetView zoomScale="110" zoomScaleNormal="110" workbookViewId="0">
      <selection activeCell="C19" sqref="C19"/>
    </sheetView>
  </sheetViews>
  <sheetFormatPr defaultColWidth="8.88671875" defaultRowHeight="14.4" x14ac:dyDescent="0.3"/>
  <cols>
    <col min="1" max="1" width="23.88671875" customWidth="1"/>
    <col min="2" max="2" width="28.44140625" customWidth="1"/>
    <col min="3" max="3" width="17.33203125" customWidth="1"/>
    <col min="4" max="5" width="11.33203125" customWidth="1"/>
    <col min="6" max="6" width="12.88671875" customWidth="1"/>
    <col min="7" max="7" width="16.33203125" customWidth="1"/>
    <col min="8" max="8" width="27.88671875" customWidth="1"/>
    <col min="9" max="12" width="11.33203125" customWidth="1"/>
  </cols>
  <sheetData>
    <row r="1" spans="1:12" x14ac:dyDescent="0.3">
      <c r="A1" s="17" t="s">
        <v>0</v>
      </c>
      <c r="B1" s="17"/>
      <c r="C1" s="17"/>
      <c r="D1" s="17"/>
      <c r="E1" s="17"/>
      <c r="F1" s="17"/>
      <c r="G1" s="17"/>
      <c r="H1" s="17"/>
      <c r="I1" s="17"/>
      <c r="J1" s="17"/>
      <c r="K1" s="17"/>
      <c r="L1" s="17"/>
    </row>
    <row r="2" spans="1:12" ht="23.4" customHeight="1" x14ac:dyDescent="0.45">
      <c r="A2" s="220" t="s">
        <v>498</v>
      </c>
      <c r="B2" s="220"/>
      <c r="C2" s="220"/>
      <c r="D2" s="17"/>
      <c r="E2" s="17"/>
      <c r="F2" s="17"/>
      <c r="G2" s="17"/>
      <c r="H2" s="17"/>
      <c r="I2" s="17"/>
      <c r="J2" s="17"/>
      <c r="K2" s="17"/>
      <c r="L2" s="17"/>
    </row>
    <row r="3" spans="1:12" x14ac:dyDescent="0.3">
      <c r="A3" s="221" t="s">
        <v>13</v>
      </c>
      <c r="B3" s="221"/>
      <c r="C3" s="101">
        <v>45443</v>
      </c>
      <c r="D3" s="17"/>
      <c r="E3" s="17"/>
      <c r="F3" s="17"/>
      <c r="G3" s="17"/>
      <c r="H3" s="17"/>
      <c r="I3" s="17"/>
      <c r="J3" s="17"/>
      <c r="K3" s="17"/>
      <c r="L3" s="17"/>
    </row>
    <row r="4" spans="1:12" x14ac:dyDescent="0.3">
      <c r="A4" s="17" t="s">
        <v>0</v>
      </c>
      <c r="B4" s="17" t="s">
        <v>0</v>
      </c>
      <c r="C4" s="17"/>
      <c r="D4" s="17"/>
      <c r="E4" s="17"/>
      <c r="F4" s="17"/>
      <c r="G4" s="17"/>
      <c r="H4" s="17"/>
      <c r="I4" s="17"/>
      <c r="J4" s="17"/>
      <c r="K4" s="17"/>
      <c r="L4" s="17"/>
    </row>
    <row r="5" spans="1:12" x14ac:dyDescent="0.3">
      <c r="A5" s="222" t="s">
        <v>14</v>
      </c>
      <c r="B5" s="223"/>
      <c r="C5" s="224"/>
      <c r="D5" s="17"/>
      <c r="E5" s="17"/>
      <c r="F5" s="17"/>
      <c r="G5" s="17"/>
      <c r="H5" s="17"/>
      <c r="I5" s="17"/>
      <c r="J5" s="17"/>
      <c r="K5" s="17"/>
      <c r="L5" s="17"/>
    </row>
    <row r="6" spans="1:12" ht="14.4" customHeight="1" x14ac:dyDescent="0.3">
      <c r="A6" s="225" t="s">
        <v>30</v>
      </c>
      <c r="B6" s="226"/>
      <c r="C6" s="227"/>
      <c r="D6" s="17"/>
      <c r="E6" s="17"/>
      <c r="F6" s="17"/>
      <c r="G6" s="17"/>
      <c r="H6" s="17"/>
      <c r="I6" s="17"/>
      <c r="J6" s="17"/>
      <c r="K6" s="17"/>
      <c r="L6" s="17"/>
    </row>
    <row r="7" spans="1:12" ht="31.95" customHeight="1" x14ac:dyDescent="0.3">
      <c r="A7" s="228" t="s">
        <v>0</v>
      </c>
      <c r="B7" s="229"/>
      <c r="C7" s="230"/>
      <c r="D7" s="17"/>
      <c r="E7" s="17"/>
      <c r="F7" s="17"/>
      <c r="G7" s="17"/>
      <c r="H7" s="17"/>
      <c r="I7" s="17"/>
      <c r="J7" s="17"/>
      <c r="K7" s="17"/>
      <c r="L7" s="17"/>
    </row>
    <row r="8" spans="1:12" x14ac:dyDescent="0.3">
      <c r="A8" s="17"/>
      <c r="B8" s="17"/>
      <c r="C8" s="17"/>
      <c r="D8" s="17"/>
      <c r="E8" s="17"/>
      <c r="F8" s="17"/>
      <c r="G8" s="17"/>
      <c r="H8" s="17"/>
      <c r="I8" s="17"/>
      <c r="J8" s="17"/>
      <c r="K8" s="17"/>
      <c r="L8" s="17"/>
    </row>
    <row r="9" spans="1:12" ht="21" customHeight="1" x14ac:dyDescent="0.3">
      <c r="A9" s="102" t="s">
        <v>15</v>
      </c>
      <c r="B9" s="231"/>
      <c r="C9" s="232"/>
      <c r="D9" s="233"/>
      <c r="E9" s="234"/>
      <c r="F9" s="17"/>
      <c r="G9" s="17"/>
      <c r="H9" s="17"/>
      <c r="I9" s="17"/>
      <c r="J9" s="17"/>
      <c r="K9" s="17"/>
      <c r="L9" s="17"/>
    </row>
    <row r="10" spans="1:12" ht="29.4" customHeight="1" x14ac:dyDescent="0.3">
      <c r="A10" s="102" t="s">
        <v>16</v>
      </c>
      <c r="B10" s="231" t="str">
        <f>IFERROR(INDEX(#REF!, MATCH($B$9,#REF!, 0)), "Please select School District number on the (1) Revenue - Spending Report  sheet.")</f>
        <v>Please select School District number on the (1) Revenue - Spending Report  sheet.</v>
      </c>
      <c r="C10" s="232"/>
      <c r="D10" s="233"/>
      <c r="E10" s="234"/>
      <c r="F10" s="17"/>
      <c r="G10" s="17"/>
      <c r="H10" s="17"/>
      <c r="I10" s="17"/>
      <c r="J10" s="17"/>
      <c r="K10" s="17"/>
      <c r="L10" s="17"/>
    </row>
    <row r="11" spans="1:12" x14ac:dyDescent="0.3">
      <c r="A11" s="17"/>
      <c r="B11" s="17"/>
      <c r="C11" s="17"/>
      <c r="D11" s="17"/>
      <c r="E11" s="17"/>
      <c r="F11" s="17"/>
      <c r="G11" s="17"/>
      <c r="H11" s="17"/>
      <c r="I11" s="17"/>
      <c r="J11" s="17"/>
      <c r="K11" s="17"/>
      <c r="L11" s="17"/>
    </row>
    <row r="12" spans="1:12" ht="30" customHeight="1" x14ac:dyDescent="0.3">
      <c r="A12" s="235"/>
      <c r="B12" s="236"/>
      <c r="C12" s="237"/>
      <c r="D12" s="238" t="s">
        <v>338</v>
      </c>
      <c r="E12" s="218"/>
      <c r="F12" s="219"/>
      <c r="G12" s="235"/>
      <c r="H12" s="237"/>
      <c r="I12" s="217" t="s">
        <v>17</v>
      </c>
      <c r="J12" s="218"/>
      <c r="K12" s="218"/>
      <c r="L12" s="219"/>
    </row>
    <row r="13" spans="1:12" ht="108" customHeight="1" x14ac:dyDescent="0.3">
      <c r="A13" s="103" t="s">
        <v>492</v>
      </c>
      <c r="B13" s="103" t="s">
        <v>334</v>
      </c>
      <c r="C13" s="103" t="s">
        <v>362</v>
      </c>
      <c r="D13" s="103" t="s">
        <v>335</v>
      </c>
      <c r="E13" s="103" t="s">
        <v>336</v>
      </c>
      <c r="F13" s="103" t="s">
        <v>337</v>
      </c>
      <c r="G13" s="103" t="s">
        <v>333</v>
      </c>
      <c r="H13" s="103" t="s">
        <v>332</v>
      </c>
      <c r="I13" s="103" t="s">
        <v>328</v>
      </c>
      <c r="J13" s="103" t="s">
        <v>329</v>
      </c>
      <c r="K13" s="103" t="s">
        <v>330</v>
      </c>
      <c r="L13" s="103" t="s">
        <v>331</v>
      </c>
    </row>
    <row r="14" spans="1:12" ht="30" customHeight="1" x14ac:dyDescent="0.3">
      <c r="A14" s="104" t="s">
        <v>18</v>
      </c>
      <c r="B14" s="105">
        <v>60</v>
      </c>
      <c r="C14" s="105">
        <v>30</v>
      </c>
      <c r="D14" s="105">
        <v>20</v>
      </c>
      <c r="E14" s="105">
        <v>5</v>
      </c>
      <c r="F14" s="105">
        <v>5</v>
      </c>
      <c r="G14" s="104" t="s">
        <v>19</v>
      </c>
      <c r="H14" s="104" t="s">
        <v>20</v>
      </c>
      <c r="I14" s="106">
        <v>30</v>
      </c>
      <c r="J14" s="107">
        <v>0.53</v>
      </c>
      <c r="K14" s="106">
        <v>20</v>
      </c>
      <c r="L14" s="104">
        <f>I14*J14*K14</f>
        <v>318</v>
      </c>
    </row>
    <row r="15" spans="1:12" ht="30" customHeight="1" x14ac:dyDescent="0.3">
      <c r="A15" s="104" t="s">
        <v>21</v>
      </c>
      <c r="B15" s="105">
        <v>60</v>
      </c>
      <c r="C15" s="105">
        <v>40</v>
      </c>
      <c r="D15" s="105">
        <v>20</v>
      </c>
      <c r="E15" s="105">
        <v>10</v>
      </c>
      <c r="F15" s="105">
        <v>10</v>
      </c>
      <c r="G15" s="104" t="s">
        <v>22</v>
      </c>
      <c r="H15" s="104" t="s">
        <v>23</v>
      </c>
      <c r="I15" s="106">
        <v>40</v>
      </c>
      <c r="J15" s="107">
        <v>0.53</v>
      </c>
      <c r="K15" s="106">
        <v>30</v>
      </c>
      <c r="L15" s="104">
        <f t="shared" ref="L15:L17" si="0">I15*J15*K15</f>
        <v>636.00000000000011</v>
      </c>
    </row>
    <row r="16" spans="1:12" ht="30" customHeight="1" x14ac:dyDescent="0.3">
      <c r="A16" s="104" t="s">
        <v>347</v>
      </c>
      <c r="B16" s="105">
        <v>60</v>
      </c>
      <c r="C16" s="105">
        <v>50</v>
      </c>
      <c r="D16" s="105">
        <v>20</v>
      </c>
      <c r="E16" s="105">
        <v>20</v>
      </c>
      <c r="F16" s="105">
        <v>10</v>
      </c>
      <c r="G16" s="104" t="s">
        <v>24</v>
      </c>
      <c r="H16" s="104" t="s">
        <v>25</v>
      </c>
      <c r="I16" s="106">
        <v>50</v>
      </c>
      <c r="J16" s="107">
        <v>0.53</v>
      </c>
      <c r="K16" s="106">
        <v>20</v>
      </c>
      <c r="L16" s="104">
        <f t="shared" si="0"/>
        <v>530</v>
      </c>
    </row>
    <row r="17" spans="1:15" ht="30" customHeight="1" x14ac:dyDescent="0.3">
      <c r="A17" s="104" t="s">
        <v>348</v>
      </c>
      <c r="B17" s="105">
        <v>20</v>
      </c>
      <c r="C17" s="105">
        <v>15</v>
      </c>
      <c r="D17" s="105">
        <v>5</v>
      </c>
      <c r="E17" s="105">
        <v>5</v>
      </c>
      <c r="F17" s="105">
        <v>5</v>
      </c>
      <c r="G17" s="104" t="s">
        <v>26</v>
      </c>
      <c r="H17" s="104" t="s">
        <v>23</v>
      </c>
      <c r="I17" s="106">
        <v>15</v>
      </c>
      <c r="J17" s="107">
        <v>0.53</v>
      </c>
      <c r="K17" s="106">
        <v>30</v>
      </c>
      <c r="L17" s="104">
        <f t="shared" si="0"/>
        <v>238.5</v>
      </c>
    </row>
    <row r="18" spans="1:15" ht="30" customHeight="1" x14ac:dyDescent="0.3">
      <c r="A18" s="108" t="s">
        <v>0</v>
      </c>
      <c r="B18" s="105"/>
      <c r="C18" s="105"/>
      <c r="D18" s="105"/>
      <c r="E18" s="105"/>
      <c r="F18" s="105"/>
      <c r="G18" s="104" t="s">
        <v>0</v>
      </c>
      <c r="H18" s="105" t="s">
        <v>0</v>
      </c>
      <c r="I18" s="106"/>
      <c r="J18" s="107"/>
      <c r="K18" s="106"/>
      <c r="L18" s="104"/>
      <c r="O18" t="s">
        <v>0</v>
      </c>
    </row>
    <row r="19" spans="1:15" ht="30" customHeight="1" x14ac:dyDescent="0.3">
      <c r="A19" s="106"/>
      <c r="B19" s="105"/>
      <c r="C19" s="105"/>
      <c r="D19" s="105"/>
      <c r="E19" s="105"/>
      <c r="F19" s="105"/>
      <c r="G19" s="104"/>
      <c r="H19" s="105"/>
      <c r="I19" s="106"/>
      <c r="J19" s="107"/>
      <c r="K19" s="109"/>
      <c r="L19" s="104"/>
    </row>
    <row r="20" spans="1:15" ht="30" customHeight="1" x14ac:dyDescent="0.3">
      <c r="A20" s="106"/>
      <c r="B20" s="105"/>
      <c r="C20" s="105"/>
      <c r="D20" s="105"/>
      <c r="E20" s="105"/>
      <c r="F20" s="105"/>
      <c r="G20" s="104"/>
      <c r="H20" s="105"/>
      <c r="I20" s="106"/>
      <c r="J20" s="107"/>
      <c r="K20" s="109"/>
      <c r="L20" s="104"/>
    </row>
    <row r="21" spans="1:15" ht="30" customHeight="1" x14ac:dyDescent="0.3">
      <c r="A21" s="106"/>
      <c r="B21" s="105"/>
      <c r="C21" s="105"/>
      <c r="D21" s="105"/>
      <c r="E21" s="105"/>
      <c r="F21" s="105"/>
      <c r="G21" s="104"/>
      <c r="H21" s="105"/>
      <c r="I21" s="106"/>
      <c r="J21" s="107"/>
      <c r="K21" s="109"/>
      <c r="L21" s="104"/>
    </row>
    <row r="22" spans="1:15" ht="30" customHeight="1" x14ac:dyDescent="0.3">
      <c r="A22" s="106"/>
      <c r="B22" s="105"/>
      <c r="C22" s="105"/>
      <c r="D22" s="105"/>
      <c r="E22" s="105"/>
      <c r="F22" s="105"/>
      <c r="G22" s="104"/>
      <c r="H22" s="105"/>
      <c r="I22" s="106"/>
      <c r="J22" s="107"/>
      <c r="K22" s="109"/>
      <c r="L22" s="104"/>
    </row>
    <row r="23" spans="1:15" ht="30" customHeight="1" x14ac:dyDescent="0.3">
      <c r="A23" s="106"/>
      <c r="B23" s="105"/>
      <c r="C23" s="105"/>
      <c r="D23" s="105"/>
      <c r="E23" s="105"/>
      <c r="F23" s="105"/>
      <c r="G23" s="104"/>
      <c r="H23" s="105"/>
      <c r="I23" s="106"/>
      <c r="J23" s="107"/>
      <c r="K23" s="109"/>
      <c r="L23" s="104"/>
    </row>
    <row r="24" spans="1:15" ht="30" customHeight="1" x14ac:dyDescent="0.3">
      <c r="A24" s="106"/>
      <c r="B24" s="105"/>
      <c r="C24" s="105"/>
      <c r="D24" s="105"/>
      <c r="E24" s="105"/>
      <c r="F24" s="105"/>
      <c r="G24" s="109"/>
      <c r="H24" s="105"/>
      <c r="I24" s="106"/>
      <c r="J24" s="107"/>
      <c r="K24" s="109"/>
      <c r="L24" s="104"/>
    </row>
    <row r="25" spans="1:15" ht="30" customHeight="1" x14ac:dyDescent="0.3">
      <c r="A25" s="106"/>
      <c r="B25" s="105"/>
      <c r="C25" s="105"/>
      <c r="D25" s="105"/>
      <c r="E25" s="105"/>
      <c r="F25" s="105"/>
      <c r="G25" s="109"/>
      <c r="H25" s="105"/>
      <c r="I25" s="106"/>
      <c r="J25" s="107"/>
      <c r="K25" s="109"/>
      <c r="L25" s="104"/>
    </row>
    <row r="26" spans="1:15" ht="30" customHeight="1" x14ac:dyDescent="0.3">
      <c r="A26" s="106"/>
      <c r="B26" s="105"/>
      <c r="C26" s="105"/>
      <c r="D26" s="105"/>
      <c r="E26" s="105"/>
      <c r="F26" s="105"/>
      <c r="G26" s="109"/>
      <c r="H26" s="105"/>
      <c r="I26" s="106"/>
      <c r="J26" s="107"/>
      <c r="K26" s="109"/>
      <c r="L26" s="104"/>
    </row>
    <row r="27" spans="1:15" ht="30" customHeight="1" x14ac:dyDescent="0.3">
      <c r="A27" s="106"/>
      <c r="B27" s="105"/>
      <c r="C27" s="105"/>
      <c r="D27" s="105"/>
      <c r="E27" s="105"/>
      <c r="F27" s="105"/>
      <c r="G27" s="109"/>
      <c r="H27" s="105"/>
      <c r="I27" s="106"/>
      <c r="J27" s="107"/>
      <c r="K27" s="109"/>
      <c r="L27" s="104"/>
    </row>
    <row r="28" spans="1:15" ht="30" customHeight="1" x14ac:dyDescent="0.3">
      <c r="A28" s="106"/>
      <c r="B28" s="105"/>
      <c r="C28" s="105"/>
      <c r="D28" s="105"/>
      <c r="E28" s="105"/>
      <c r="F28" s="105"/>
      <c r="G28" s="109"/>
      <c r="H28" s="105"/>
      <c r="I28" s="106"/>
      <c r="J28" s="107"/>
      <c r="K28" s="109"/>
      <c r="L28" s="104"/>
    </row>
    <row r="29" spans="1:15" x14ac:dyDescent="0.3">
      <c r="A29" s="110" t="s">
        <v>31</v>
      </c>
      <c r="B29" s="111">
        <f>SUM(B14:B28)</f>
        <v>200</v>
      </c>
      <c r="C29" s="111">
        <f>SUM(C14:C28)</f>
        <v>135</v>
      </c>
      <c r="D29" s="111">
        <f>SUM(D14:D28)</f>
        <v>65</v>
      </c>
      <c r="E29" s="111">
        <f>SUM(E15:E28)</f>
        <v>35</v>
      </c>
      <c r="F29" s="111">
        <f>SUM(F14:F28)</f>
        <v>30</v>
      </c>
      <c r="G29" s="112">
        <f>IFERROR(AVERAGE(G14:G28),0)</f>
        <v>0</v>
      </c>
      <c r="H29" s="112">
        <f>IFERROR(AVERAGE(H14:H28),0)</f>
        <v>0</v>
      </c>
      <c r="I29" s="111">
        <f>SUM(I14:I28)</f>
        <v>135</v>
      </c>
      <c r="J29" s="112">
        <f>IFERROR(AVERAGE(J14:J28),0)</f>
        <v>0.53</v>
      </c>
      <c r="K29" s="111">
        <f>SUM(K14:K28)</f>
        <v>100</v>
      </c>
      <c r="L29" s="111">
        <f>SUM(L14:L28)</f>
        <v>1722.5</v>
      </c>
    </row>
  </sheetData>
  <sheetProtection selectLockedCells="1"/>
  <protectedRanges>
    <protectedRange sqref="A19:L28 A18:F18 H18:L18" name="Range2"/>
  </protectedRanges>
  <mergeCells count="12">
    <mergeCell ref="I12:L12"/>
    <mergeCell ref="A2:C2"/>
    <mergeCell ref="A3:B3"/>
    <mergeCell ref="A5:C5"/>
    <mergeCell ref="A6:C6"/>
    <mergeCell ref="A7:C7"/>
    <mergeCell ref="B9:C9"/>
    <mergeCell ref="D9:E10"/>
    <mergeCell ref="B10:C10"/>
    <mergeCell ref="A12:C12"/>
    <mergeCell ref="D12:F12"/>
    <mergeCell ref="G12:H12"/>
  </mergeCells>
  <dataValidations count="2">
    <dataValidation type="decimal" operator="greaterThanOrEqual" allowBlank="1" showInputMessage="1" showErrorMessage="1" sqref="I14:L28 B14:F28 G14:G17 G19:G28" xr:uid="{09D77ED2-1E96-48CB-A3BC-567A5B91D68F}">
      <formula1>0</formula1>
    </dataValidation>
    <dataValidation type="decimal" operator="greaterThanOrEqual" allowBlank="1" sqref="G18" xr:uid="{925A9385-E45F-48FF-908C-788E6FC85504}">
      <formula1>0</formula1>
    </dataValidation>
  </dataValidations>
  <pageMargins left="0.19685039370078741" right="0.19685039370078741" top="0.19685039370078741" bottom="0.19685039370078741" header="0.31496062992125984" footer="0.31496062992125984"/>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0679-D7E8-40A8-88CE-B99E7C31B218}">
  <dimension ref="A1:O68"/>
  <sheetViews>
    <sheetView workbookViewId="0">
      <selection sqref="A1:L1"/>
    </sheetView>
  </sheetViews>
  <sheetFormatPr defaultColWidth="8.88671875" defaultRowHeight="14.4" x14ac:dyDescent="0.3"/>
  <cols>
    <col min="1" max="1" width="29.109375" style="2" bestFit="1" customWidth="1"/>
    <col min="2" max="2" width="13.33203125" style="2" customWidth="1"/>
    <col min="3" max="3" width="11.88671875" style="2" bestFit="1" customWidth="1"/>
    <col min="4" max="4" width="2.6640625" style="2" customWidth="1"/>
    <col min="5" max="5" width="12.33203125" style="2" bestFit="1" customWidth="1"/>
    <col min="6" max="6" width="10.5546875" style="2" bestFit="1" customWidth="1"/>
    <col min="7" max="7" width="9.109375" style="2" bestFit="1" customWidth="1"/>
    <col min="8" max="8" width="2.6640625" style="2" customWidth="1"/>
    <col min="9" max="9" width="13.5546875" style="2" bestFit="1" customWidth="1"/>
    <col min="10" max="10" width="10.5546875" style="2" bestFit="1" customWidth="1"/>
    <col min="11" max="11" width="9.109375" style="2" bestFit="1" customWidth="1"/>
    <col min="12" max="12" width="2.6640625" style="2" customWidth="1"/>
    <col min="13" max="13" width="12.33203125" style="2" bestFit="1" customWidth="1"/>
    <col min="14" max="14" width="10.5546875" style="2" bestFit="1" customWidth="1"/>
    <col min="15" max="15" width="11" style="2" customWidth="1"/>
    <col min="16" max="16384" width="8.88671875" style="2"/>
  </cols>
  <sheetData>
    <row r="1" spans="1:15" x14ac:dyDescent="0.3">
      <c r="A1" s="239" t="s">
        <v>403</v>
      </c>
      <c r="B1" s="239"/>
      <c r="C1" s="239"/>
      <c r="D1" s="239"/>
      <c r="E1" s="239"/>
      <c r="F1" s="239"/>
      <c r="G1" s="239"/>
      <c r="H1" s="239"/>
      <c r="I1" s="239"/>
      <c r="J1" s="239"/>
      <c r="K1" s="239"/>
      <c r="L1" s="239"/>
      <c r="M1" s="240" t="s">
        <v>404</v>
      </c>
      <c r="N1" s="240"/>
      <c r="O1" s="240"/>
    </row>
    <row r="4" spans="1:15" x14ac:dyDescent="0.3">
      <c r="A4" s="125"/>
      <c r="B4" s="126"/>
      <c r="C4" s="126" t="s">
        <v>405</v>
      </c>
      <c r="E4" s="241" t="s">
        <v>326</v>
      </c>
      <c r="F4" s="242"/>
      <c r="G4" s="243"/>
      <c r="H4" s="127"/>
      <c r="I4" s="241" t="s">
        <v>12</v>
      </c>
      <c r="J4" s="242"/>
      <c r="K4" s="243"/>
      <c r="L4" s="127"/>
      <c r="M4" s="241" t="s">
        <v>325</v>
      </c>
      <c r="N4" s="242"/>
      <c r="O4" s="243"/>
    </row>
    <row r="5" spans="1:15" x14ac:dyDescent="0.3">
      <c r="A5" s="128"/>
      <c r="B5" s="129" t="s">
        <v>324</v>
      </c>
      <c r="C5" s="130" t="s">
        <v>406</v>
      </c>
      <c r="E5" s="126" t="s">
        <v>323</v>
      </c>
      <c r="F5" s="126" t="s">
        <v>322</v>
      </c>
      <c r="G5" s="126" t="s">
        <v>321</v>
      </c>
      <c r="H5" s="127"/>
      <c r="I5" s="126" t="s">
        <v>323</v>
      </c>
      <c r="J5" s="126" t="s">
        <v>322</v>
      </c>
      <c r="K5" s="126" t="s">
        <v>321</v>
      </c>
      <c r="L5" s="127"/>
      <c r="M5" s="126" t="s">
        <v>323</v>
      </c>
      <c r="N5" s="126" t="s">
        <v>322</v>
      </c>
      <c r="O5" s="126" t="s">
        <v>321</v>
      </c>
    </row>
    <row r="6" spans="1:15" x14ac:dyDescent="0.3">
      <c r="A6" s="129" t="s">
        <v>320</v>
      </c>
      <c r="B6" s="130" t="s">
        <v>406</v>
      </c>
      <c r="C6" s="130" t="s">
        <v>322</v>
      </c>
      <c r="E6" s="129" t="s">
        <v>319</v>
      </c>
      <c r="F6" s="129" t="s">
        <v>318</v>
      </c>
      <c r="G6" s="129" t="s">
        <v>317</v>
      </c>
      <c r="H6" s="127"/>
      <c r="I6" s="129" t="s">
        <v>319</v>
      </c>
      <c r="J6" s="129" t="s">
        <v>318</v>
      </c>
      <c r="K6" s="129" t="s">
        <v>317</v>
      </c>
      <c r="L6" s="127"/>
      <c r="M6" s="129" t="s">
        <v>319</v>
      </c>
      <c r="N6" s="129" t="s">
        <v>318</v>
      </c>
      <c r="O6" s="129" t="s">
        <v>317</v>
      </c>
    </row>
    <row r="7" spans="1:15" x14ac:dyDescent="0.3">
      <c r="A7" s="131"/>
      <c r="B7" s="129" t="s">
        <v>316</v>
      </c>
      <c r="C7" s="129" t="s">
        <v>407</v>
      </c>
      <c r="E7" s="132"/>
      <c r="F7" s="132" t="s">
        <v>315</v>
      </c>
      <c r="G7" s="132" t="s">
        <v>312</v>
      </c>
      <c r="H7" s="127"/>
      <c r="I7" s="132"/>
      <c r="J7" s="132" t="s">
        <v>314</v>
      </c>
      <c r="K7" s="132" t="s">
        <v>312</v>
      </c>
      <c r="L7" s="127"/>
      <c r="M7" s="132"/>
      <c r="N7" s="132" t="s">
        <v>313</v>
      </c>
      <c r="O7" s="132" t="s">
        <v>312</v>
      </c>
    </row>
    <row r="8" spans="1:15" ht="15" customHeight="1" x14ac:dyDescent="0.3">
      <c r="A8" s="133" t="s">
        <v>408</v>
      </c>
      <c r="B8" s="134">
        <v>5962.6875</v>
      </c>
      <c r="C8" s="135">
        <v>15370</v>
      </c>
      <c r="E8" s="136">
        <v>361459</v>
      </c>
      <c r="F8" s="137">
        <f>ROUND(E8/$B8,0)</f>
        <v>61</v>
      </c>
      <c r="G8" s="138">
        <f>F8/$C8</f>
        <v>3.9687703318152245E-3</v>
      </c>
      <c r="I8" s="136">
        <v>3114125</v>
      </c>
      <c r="J8" s="137">
        <f>ROUND(I8/$B8,0)</f>
        <v>522</v>
      </c>
      <c r="K8" s="138">
        <f t="shared" ref="K8:K68" si="0">J8/$C8</f>
        <v>3.3962264150943396E-2</v>
      </c>
      <c r="M8" s="136">
        <v>413000</v>
      </c>
      <c r="N8" s="137">
        <f>ROUND(M8/$B8,0)</f>
        <v>69</v>
      </c>
      <c r="O8" s="138">
        <f>N8/$C8</f>
        <v>4.4892648015614836E-3</v>
      </c>
    </row>
    <row r="9" spans="1:15" ht="15" customHeight="1" x14ac:dyDescent="0.3">
      <c r="A9" s="139" t="s">
        <v>409</v>
      </c>
      <c r="B9" s="140">
        <v>3481.75</v>
      </c>
      <c r="C9" s="141">
        <v>15054</v>
      </c>
      <c r="E9" s="142">
        <v>369399</v>
      </c>
      <c r="F9" s="143">
        <f t="shared" ref="F9:F68" si="1">ROUND(E9/$B9,0)</f>
        <v>106</v>
      </c>
      <c r="G9" s="144">
        <f>F9/$C9</f>
        <v>7.0413179221469379E-3</v>
      </c>
      <c r="I9" s="142">
        <v>2713057</v>
      </c>
      <c r="J9" s="143">
        <f t="shared" ref="J9:J68" si="2">ROUND(I9/$B9,0)</f>
        <v>779</v>
      </c>
      <c r="K9" s="144">
        <f t="shared" si="0"/>
        <v>5.1747043975023249E-2</v>
      </c>
      <c r="M9" s="142">
        <v>160000</v>
      </c>
      <c r="N9" s="143">
        <f t="shared" ref="N9:N68" si="3">ROUND(M9/$B9,0)</f>
        <v>46</v>
      </c>
      <c r="O9" s="144">
        <f>N9/$C9</f>
        <v>3.0556662681015014E-3</v>
      </c>
    </row>
    <row r="10" spans="1:15" ht="15" customHeight="1" x14ac:dyDescent="0.3">
      <c r="A10" s="139" t="s">
        <v>410</v>
      </c>
      <c r="B10" s="140">
        <v>4774.1875</v>
      </c>
      <c r="C10" s="141">
        <v>15933</v>
      </c>
      <c r="E10" s="142">
        <v>419602</v>
      </c>
      <c r="F10" s="143">
        <f t="shared" si="1"/>
        <v>88</v>
      </c>
      <c r="G10" s="144">
        <f>F10/$C10</f>
        <v>5.5231280989142036E-3</v>
      </c>
      <c r="I10" s="142">
        <v>2632939</v>
      </c>
      <c r="J10" s="143">
        <f t="shared" si="2"/>
        <v>551</v>
      </c>
      <c r="K10" s="144">
        <f t="shared" si="0"/>
        <v>3.4582313437519614E-2</v>
      </c>
      <c r="M10" s="142">
        <v>233000</v>
      </c>
      <c r="N10" s="143">
        <f t="shared" si="3"/>
        <v>49</v>
      </c>
      <c r="O10" s="144">
        <f>N10/$C10</f>
        <v>3.0753781459863178E-3</v>
      </c>
    </row>
    <row r="11" spans="1:15" ht="15" customHeight="1" x14ac:dyDescent="0.3">
      <c r="A11" s="139" t="s">
        <v>411</v>
      </c>
      <c r="B11" s="140">
        <v>513.40750000000003</v>
      </c>
      <c r="C11" s="141">
        <v>23039</v>
      </c>
      <c r="E11" s="142">
        <v>42675</v>
      </c>
      <c r="F11" s="143">
        <f t="shared" si="1"/>
        <v>83</v>
      </c>
      <c r="G11" s="144">
        <f t="shared" ref="G11:G68" si="4">F11/$C11</f>
        <v>3.6025869178349756E-3</v>
      </c>
      <c r="I11" s="142">
        <v>411596</v>
      </c>
      <c r="J11" s="143">
        <f t="shared" si="2"/>
        <v>802</v>
      </c>
      <c r="K11" s="144">
        <f t="shared" si="0"/>
        <v>3.4810538651851207E-2</v>
      </c>
      <c r="M11" s="142">
        <v>43000</v>
      </c>
      <c r="N11" s="143">
        <f t="shared" si="3"/>
        <v>84</v>
      </c>
      <c r="O11" s="144">
        <f t="shared" ref="O11:O68" si="5">N11/$C11</f>
        <v>3.645991579495638E-3</v>
      </c>
    </row>
    <row r="12" spans="1:15" ht="15" customHeight="1" x14ac:dyDescent="0.3">
      <c r="A12" s="139" t="s">
        <v>412</v>
      </c>
      <c r="B12" s="140">
        <v>1087</v>
      </c>
      <c r="C12" s="141">
        <v>14977</v>
      </c>
      <c r="E12" s="142">
        <v>49847</v>
      </c>
      <c r="F12" s="143">
        <f t="shared" si="1"/>
        <v>46</v>
      </c>
      <c r="G12" s="144">
        <f t="shared" si="4"/>
        <v>3.0713761100353877E-3</v>
      </c>
      <c r="I12" s="142">
        <v>346679</v>
      </c>
      <c r="J12" s="143">
        <f t="shared" si="2"/>
        <v>319</v>
      </c>
      <c r="K12" s="144">
        <f t="shared" si="0"/>
        <v>2.1299325632636711E-2</v>
      </c>
      <c r="M12" s="142">
        <v>66000</v>
      </c>
      <c r="N12" s="143">
        <f t="shared" si="3"/>
        <v>61</v>
      </c>
      <c r="O12" s="144">
        <f t="shared" si="5"/>
        <v>4.0729117980904056E-3</v>
      </c>
    </row>
    <row r="13" spans="1:15" ht="15" customHeight="1" x14ac:dyDescent="0.3">
      <c r="A13" s="139" t="s">
        <v>413</v>
      </c>
      <c r="B13" s="140">
        <v>4174.25</v>
      </c>
      <c r="C13" s="141">
        <v>14408</v>
      </c>
      <c r="E13" s="142">
        <v>242977</v>
      </c>
      <c r="F13" s="143">
        <f t="shared" si="1"/>
        <v>58</v>
      </c>
      <c r="G13" s="144">
        <f t="shared" si="4"/>
        <v>4.0255413659078289E-3</v>
      </c>
      <c r="I13" s="142">
        <v>1809836</v>
      </c>
      <c r="J13" s="143">
        <f t="shared" si="2"/>
        <v>434</v>
      </c>
      <c r="K13" s="144">
        <f t="shared" si="0"/>
        <v>3.0122154358689618E-2</v>
      </c>
      <c r="M13" s="142">
        <v>242000</v>
      </c>
      <c r="N13" s="143">
        <f t="shared" si="3"/>
        <v>58</v>
      </c>
      <c r="O13" s="144">
        <f t="shared" si="5"/>
        <v>4.0255413659078289E-3</v>
      </c>
    </row>
    <row r="14" spans="1:15" ht="15" customHeight="1" x14ac:dyDescent="0.3">
      <c r="A14" s="139" t="s">
        <v>414</v>
      </c>
      <c r="B14" s="140">
        <v>8791.0625</v>
      </c>
      <c r="C14" s="141">
        <v>13230</v>
      </c>
      <c r="E14" s="142">
        <v>361094</v>
      </c>
      <c r="F14" s="143">
        <f t="shared" si="1"/>
        <v>41</v>
      </c>
      <c r="G14" s="144">
        <f t="shared" si="4"/>
        <v>3.0990173847316705E-3</v>
      </c>
      <c r="I14" s="142">
        <v>2326974</v>
      </c>
      <c r="J14" s="143">
        <f t="shared" si="2"/>
        <v>265</v>
      </c>
      <c r="K14" s="144">
        <f t="shared" si="0"/>
        <v>2.0030234315948602E-2</v>
      </c>
      <c r="M14" s="142">
        <v>497000</v>
      </c>
      <c r="N14" s="143">
        <f t="shared" si="3"/>
        <v>57</v>
      </c>
      <c r="O14" s="144">
        <f t="shared" si="5"/>
        <v>4.3083900226757368E-3</v>
      </c>
    </row>
    <row r="15" spans="1:15" ht="15" customHeight="1" x14ac:dyDescent="0.3">
      <c r="A15" s="139" t="s">
        <v>415</v>
      </c>
      <c r="B15" s="140">
        <v>24850.5</v>
      </c>
      <c r="C15" s="141">
        <v>12707</v>
      </c>
      <c r="E15" s="142">
        <v>600000</v>
      </c>
      <c r="F15" s="143">
        <f t="shared" si="1"/>
        <v>24</v>
      </c>
      <c r="G15" s="144">
        <f t="shared" si="4"/>
        <v>1.8887227512394743E-3</v>
      </c>
      <c r="I15" s="142">
        <v>3748667</v>
      </c>
      <c r="J15" s="143">
        <f t="shared" si="2"/>
        <v>151</v>
      </c>
      <c r="K15" s="144">
        <f t="shared" si="0"/>
        <v>1.188321397654836E-2</v>
      </c>
      <c r="M15" s="142">
        <v>1364000</v>
      </c>
      <c r="N15" s="143">
        <f t="shared" si="3"/>
        <v>55</v>
      </c>
      <c r="O15" s="144">
        <f t="shared" si="5"/>
        <v>4.3283229715904616E-3</v>
      </c>
    </row>
    <row r="16" spans="1:15" ht="15" customHeight="1" x14ac:dyDescent="0.3">
      <c r="A16" s="139" t="s">
        <v>416</v>
      </c>
      <c r="B16" s="140">
        <v>4590.375</v>
      </c>
      <c r="C16" s="141">
        <v>15021</v>
      </c>
      <c r="E16" s="142">
        <v>739024</v>
      </c>
      <c r="F16" s="143">
        <f t="shared" si="1"/>
        <v>161</v>
      </c>
      <c r="G16" s="144">
        <f t="shared" si="4"/>
        <v>1.0718327674588909E-2</v>
      </c>
      <c r="I16" s="142">
        <v>4730417</v>
      </c>
      <c r="J16" s="143">
        <f t="shared" si="2"/>
        <v>1031</v>
      </c>
      <c r="K16" s="144">
        <f t="shared" si="0"/>
        <v>6.8637241195659407E-2</v>
      </c>
      <c r="M16" s="142">
        <v>223000</v>
      </c>
      <c r="N16" s="143">
        <f t="shared" si="3"/>
        <v>49</v>
      </c>
      <c r="O16" s="144">
        <f t="shared" si="5"/>
        <v>3.2620997270487984E-3</v>
      </c>
    </row>
    <row r="17" spans="1:15" ht="15" customHeight="1" x14ac:dyDescent="0.3">
      <c r="A17" s="139" t="s">
        <v>417</v>
      </c>
      <c r="B17" s="140">
        <v>2990.75</v>
      </c>
      <c r="C17" s="141">
        <v>15307</v>
      </c>
      <c r="E17" s="142">
        <v>274209</v>
      </c>
      <c r="F17" s="143">
        <f t="shared" si="1"/>
        <v>92</v>
      </c>
      <c r="G17" s="144">
        <f t="shared" si="4"/>
        <v>6.0103220748677078E-3</v>
      </c>
      <c r="I17" s="142">
        <v>1778921</v>
      </c>
      <c r="J17" s="143">
        <f t="shared" si="2"/>
        <v>595</v>
      </c>
      <c r="K17" s="144">
        <f t="shared" si="0"/>
        <v>3.8871104723329199E-2</v>
      </c>
      <c r="M17" s="142">
        <v>247000</v>
      </c>
      <c r="N17" s="143">
        <f t="shared" si="3"/>
        <v>83</v>
      </c>
      <c r="O17" s="144">
        <f t="shared" si="5"/>
        <v>5.4223557849349974E-3</v>
      </c>
    </row>
    <row r="18" spans="1:15" ht="15" customHeight="1" x14ac:dyDescent="0.3">
      <c r="A18" s="139" t="s">
        <v>418</v>
      </c>
      <c r="B18" s="140">
        <v>15331.125</v>
      </c>
      <c r="C18" s="141">
        <v>13251</v>
      </c>
      <c r="E18" s="142">
        <v>329456</v>
      </c>
      <c r="F18" s="143">
        <f t="shared" si="1"/>
        <v>21</v>
      </c>
      <c r="G18" s="144">
        <f t="shared" si="4"/>
        <v>1.5847860538827259E-3</v>
      </c>
      <c r="I18" s="142">
        <v>2405495</v>
      </c>
      <c r="J18" s="143">
        <f t="shared" si="2"/>
        <v>157</v>
      </c>
      <c r="K18" s="144">
        <f t="shared" si="0"/>
        <v>1.1848162402837521E-2</v>
      </c>
      <c r="M18" s="142">
        <v>959000</v>
      </c>
      <c r="N18" s="143">
        <f t="shared" si="3"/>
        <v>63</v>
      </c>
      <c r="O18" s="144">
        <f t="shared" si="5"/>
        <v>4.7543581616481777E-3</v>
      </c>
    </row>
    <row r="19" spans="1:15" ht="15" customHeight="1" x14ac:dyDescent="0.3">
      <c r="A19" s="139" t="s">
        <v>419</v>
      </c>
      <c r="B19" s="140">
        <v>20051.1875</v>
      </c>
      <c r="C19" s="141">
        <v>12243</v>
      </c>
      <c r="E19" s="142">
        <v>313969</v>
      </c>
      <c r="F19" s="143">
        <f t="shared" si="1"/>
        <v>16</v>
      </c>
      <c r="G19" s="144">
        <f t="shared" si="4"/>
        <v>1.3068692313975333E-3</v>
      </c>
      <c r="I19" s="142">
        <v>1588000</v>
      </c>
      <c r="J19" s="143">
        <f t="shared" si="2"/>
        <v>79</v>
      </c>
      <c r="K19" s="144">
        <f t="shared" si="0"/>
        <v>6.4526668300253203E-3</v>
      </c>
      <c r="M19" s="142">
        <v>1051000</v>
      </c>
      <c r="N19" s="143">
        <f t="shared" si="3"/>
        <v>52</v>
      </c>
      <c r="O19" s="144">
        <f t="shared" si="5"/>
        <v>4.2473250020419835E-3</v>
      </c>
    </row>
    <row r="20" spans="1:15" ht="15" customHeight="1" x14ac:dyDescent="0.3">
      <c r="A20" s="139" t="s">
        <v>420</v>
      </c>
      <c r="B20" s="140">
        <v>24434.25</v>
      </c>
      <c r="C20" s="141">
        <v>13305</v>
      </c>
      <c r="E20" s="142">
        <v>260000</v>
      </c>
      <c r="F20" s="143">
        <f t="shared" si="1"/>
        <v>11</v>
      </c>
      <c r="G20" s="144">
        <f t="shared" si="4"/>
        <v>8.267568583239384E-4</v>
      </c>
      <c r="I20" s="142">
        <v>1864070</v>
      </c>
      <c r="J20" s="143">
        <f t="shared" si="2"/>
        <v>76</v>
      </c>
      <c r="K20" s="144">
        <f t="shared" si="0"/>
        <v>5.7121382938744832E-3</v>
      </c>
      <c r="M20" s="142">
        <v>1380000</v>
      </c>
      <c r="N20" s="143">
        <f t="shared" si="3"/>
        <v>56</v>
      </c>
      <c r="O20" s="144">
        <f t="shared" si="5"/>
        <v>4.2089440060127771E-3</v>
      </c>
    </row>
    <row r="21" spans="1:15" ht="15" customHeight="1" x14ac:dyDescent="0.3">
      <c r="A21" s="139" t="s">
        <v>421</v>
      </c>
      <c r="B21" s="140">
        <v>78116.6875</v>
      </c>
      <c r="C21" s="141">
        <v>12358</v>
      </c>
      <c r="E21" s="142">
        <v>72999</v>
      </c>
      <c r="F21" s="143">
        <f t="shared" si="1"/>
        <v>1</v>
      </c>
      <c r="G21" s="144">
        <f t="shared" si="4"/>
        <v>8.0919242595889302E-5</v>
      </c>
      <c r="I21" s="142">
        <v>488477</v>
      </c>
      <c r="J21" s="143">
        <f t="shared" si="2"/>
        <v>6</v>
      </c>
      <c r="K21" s="144">
        <f t="shared" si="0"/>
        <v>4.8551545557533581E-4</v>
      </c>
      <c r="M21" s="142">
        <v>4409000</v>
      </c>
      <c r="N21" s="143">
        <f t="shared" si="3"/>
        <v>56</v>
      </c>
      <c r="O21" s="144">
        <f t="shared" si="5"/>
        <v>4.5314775853698011E-3</v>
      </c>
    </row>
    <row r="22" spans="1:15" ht="15" customHeight="1" x14ac:dyDescent="0.3">
      <c r="A22" s="139" t="s">
        <v>422</v>
      </c>
      <c r="B22" s="140">
        <v>15892.3125</v>
      </c>
      <c r="C22" s="141">
        <v>12223</v>
      </c>
      <c r="E22" s="142">
        <v>41933</v>
      </c>
      <c r="F22" s="143">
        <f t="shared" si="1"/>
        <v>3</v>
      </c>
      <c r="G22" s="144">
        <f t="shared" si="4"/>
        <v>2.4543892661376093E-4</v>
      </c>
      <c r="I22" s="142">
        <v>260213</v>
      </c>
      <c r="J22" s="143">
        <f t="shared" si="2"/>
        <v>16</v>
      </c>
      <c r="K22" s="144">
        <f t="shared" si="0"/>
        <v>1.309007608606725E-3</v>
      </c>
      <c r="M22" s="142">
        <v>873000</v>
      </c>
      <c r="N22" s="143">
        <f t="shared" si="3"/>
        <v>55</v>
      </c>
      <c r="O22" s="144">
        <f t="shared" si="5"/>
        <v>4.4997136545856173E-3</v>
      </c>
    </row>
    <row r="23" spans="1:15" ht="15" customHeight="1" x14ac:dyDescent="0.3">
      <c r="A23" s="139" t="s">
        <v>423</v>
      </c>
      <c r="B23" s="140">
        <v>21917.875</v>
      </c>
      <c r="C23" s="141">
        <v>13357</v>
      </c>
      <c r="E23" s="142">
        <v>21608</v>
      </c>
      <c r="F23" s="143">
        <f t="shared" si="1"/>
        <v>1</v>
      </c>
      <c r="G23" s="144">
        <f t="shared" si="4"/>
        <v>7.4867110878191204E-5</v>
      </c>
      <c r="I23" s="142">
        <v>136610</v>
      </c>
      <c r="J23" s="143">
        <f t="shared" si="2"/>
        <v>6</v>
      </c>
      <c r="K23" s="144">
        <f t="shared" si="0"/>
        <v>4.4920266526914728E-4</v>
      </c>
      <c r="M23" s="142">
        <v>977000</v>
      </c>
      <c r="N23" s="143">
        <f t="shared" si="3"/>
        <v>45</v>
      </c>
      <c r="O23" s="144">
        <f t="shared" si="5"/>
        <v>3.3690199895186046E-3</v>
      </c>
    </row>
    <row r="24" spans="1:15" ht="15" customHeight="1" x14ac:dyDescent="0.3">
      <c r="A24" s="139" t="s">
        <v>424</v>
      </c>
      <c r="B24" s="140">
        <v>50109.5</v>
      </c>
      <c r="C24" s="141">
        <v>12362</v>
      </c>
      <c r="E24" s="142">
        <v>53423</v>
      </c>
      <c r="F24" s="143">
        <f t="shared" si="1"/>
        <v>1</v>
      </c>
      <c r="G24" s="144">
        <f t="shared" si="4"/>
        <v>8.0893059375505583E-5</v>
      </c>
      <c r="I24" s="142">
        <v>318797</v>
      </c>
      <c r="J24" s="143">
        <f t="shared" si="2"/>
        <v>6</v>
      </c>
      <c r="K24" s="144">
        <f t="shared" si="0"/>
        <v>4.853583562530335E-4</v>
      </c>
      <c r="M24" s="142">
        <v>2763000</v>
      </c>
      <c r="N24" s="143">
        <f t="shared" si="3"/>
        <v>55</v>
      </c>
      <c r="O24" s="144">
        <f t="shared" si="5"/>
        <v>4.4491182656528072E-3</v>
      </c>
    </row>
    <row r="25" spans="1:15" ht="15" customHeight="1" x14ac:dyDescent="0.3">
      <c r="A25" s="139" t="s">
        <v>425</v>
      </c>
      <c r="B25" s="140">
        <v>7443.0625</v>
      </c>
      <c r="C25" s="141">
        <v>12532</v>
      </c>
      <c r="E25" s="142">
        <v>6073</v>
      </c>
      <c r="F25" s="143">
        <f t="shared" si="1"/>
        <v>1</v>
      </c>
      <c r="G25" s="144">
        <f t="shared" si="4"/>
        <v>7.9795722949249921E-5</v>
      </c>
      <c r="I25" s="142">
        <v>44328</v>
      </c>
      <c r="J25" s="143">
        <f t="shared" si="2"/>
        <v>6</v>
      </c>
      <c r="K25" s="144">
        <f t="shared" si="0"/>
        <v>4.787743376954995E-4</v>
      </c>
      <c r="M25" s="142">
        <v>358000</v>
      </c>
      <c r="N25" s="143">
        <f t="shared" si="3"/>
        <v>48</v>
      </c>
      <c r="O25" s="144">
        <f t="shared" si="5"/>
        <v>3.830194701563996E-3</v>
      </c>
    </row>
    <row r="26" spans="1:15" ht="15" customHeight="1" x14ac:dyDescent="0.3">
      <c r="A26" s="139" t="s">
        <v>426</v>
      </c>
      <c r="B26" s="140">
        <v>26091.062600000001</v>
      </c>
      <c r="C26" s="141">
        <v>11987</v>
      </c>
      <c r="E26" s="142">
        <v>24841</v>
      </c>
      <c r="F26" s="143">
        <f t="shared" si="1"/>
        <v>1</v>
      </c>
      <c r="G26" s="144">
        <f t="shared" si="4"/>
        <v>8.3423709018102941E-5</v>
      </c>
      <c r="I26" s="142">
        <v>163976</v>
      </c>
      <c r="J26" s="143">
        <f t="shared" si="2"/>
        <v>6</v>
      </c>
      <c r="K26" s="144">
        <f t="shared" si="0"/>
        <v>5.005422541086177E-4</v>
      </c>
      <c r="M26" s="142">
        <v>1389000</v>
      </c>
      <c r="N26" s="143">
        <f t="shared" si="3"/>
        <v>53</v>
      </c>
      <c r="O26" s="144">
        <f t="shared" si="5"/>
        <v>4.4214565779594562E-3</v>
      </c>
    </row>
    <row r="27" spans="1:15" ht="15" customHeight="1" x14ac:dyDescent="0.3">
      <c r="A27" s="139" t="s">
        <v>427</v>
      </c>
      <c r="B27" s="140">
        <v>16297.125</v>
      </c>
      <c r="C27" s="141">
        <v>13220</v>
      </c>
      <c r="E27" s="142">
        <v>185990</v>
      </c>
      <c r="F27" s="143">
        <f t="shared" si="1"/>
        <v>11</v>
      </c>
      <c r="G27" s="144">
        <f t="shared" si="4"/>
        <v>8.3207261724659606E-4</v>
      </c>
      <c r="I27" s="142">
        <v>1274548</v>
      </c>
      <c r="J27" s="143">
        <f t="shared" si="2"/>
        <v>78</v>
      </c>
      <c r="K27" s="144">
        <f t="shared" si="0"/>
        <v>5.9001512859304089E-3</v>
      </c>
      <c r="M27" s="142">
        <v>1024000</v>
      </c>
      <c r="N27" s="143">
        <f t="shared" si="3"/>
        <v>63</v>
      </c>
      <c r="O27" s="144">
        <f t="shared" si="5"/>
        <v>4.7655068078668681E-3</v>
      </c>
    </row>
    <row r="28" spans="1:15" ht="15" customHeight="1" x14ac:dyDescent="0.3">
      <c r="A28" s="139" t="s">
        <v>428</v>
      </c>
      <c r="B28" s="140">
        <v>32621.625</v>
      </c>
      <c r="C28" s="141">
        <v>12634</v>
      </c>
      <c r="E28" s="142">
        <v>81641</v>
      </c>
      <c r="F28" s="143">
        <f t="shared" si="1"/>
        <v>3</v>
      </c>
      <c r="G28" s="144">
        <f t="shared" si="4"/>
        <v>2.3745448788982111E-4</v>
      </c>
      <c r="I28" s="142">
        <v>514901</v>
      </c>
      <c r="J28" s="143">
        <f t="shared" si="2"/>
        <v>16</v>
      </c>
      <c r="K28" s="144">
        <f t="shared" si="0"/>
        <v>1.2664239354123793E-3</v>
      </c>
      <c r="M28" s="142">
        <v>1586000</v>
      </c>
      <c r="N28" s="143">
        <f t="shared" si="3"/>
        <v>49</v>
      </c>
      <c r="O28" s="144">
        <f t="shared" si="5"/>
        <v>3.8784233022004116E-3</v>
      </c>
    </row>
    <row r="29" spans="1:15" ht="15" customHeight="1" x14ac:dyDescent="0.3">
      <c r="A29" s="139" t="s">
        <v>429</v>
      </c>
      <c r="B29" s="140">
        <v>16162</v>
      </c>
      <c r="C29" s="141">
        <v>12400</v>
      </c>
      <c r="E29" s="142">
        <v>40566</v>
      </c>
      <c r="F29" s="143">
        <f t="shared" si="1"/>
        <v>3</v>
      </c>
      <c r="G29" s="144">
        <f t="shared" si="4"/>
        <v>2.4193548387096774E-4</v>
      </c>
      <c r="I29" s="142">
        <v>255723</v>
      </c>
      <c r="J29" s="143">
        <f t="shared" si="2"/>
        <v>16</v>
      </c>
      <c r="K29" s="144">
        <f t="shared" si="0"/>
        <v>1.2903225806451613E-3</v>
      </c>
      <c r="M29" s="142">
        <v>719000</v>
      </c>
      <c r="N29" s="143">
        <f t="shared" si="3"/>
        <v>44</v>
      </c>
      <c r="O29" s="144">
        <f t="shared" si="5"/>
        <v>3.5483870967741938E-3</v>
      </c>
    </row>
    <row r="30" spans="1:15" ht="15" customHeight="1" x14ac:dyDescent="0.3">
      <c r="A30" s="139" t="s">
        <v>430</v>
      </c>
      <c r="B30" s="140">
        <v>7122.3125</v>
      </c>
      <c r="C30" s="141">
        <v>11563</v>
      </c>
      <c r="E30" s="142">
        <v>84722</v>
      </c>
      <c r="F30" s="143">
        <f t="shared" si="1"/>
        <v>12</v>
      </c>
      <c r="G30" s="144">
        <f t="shared" si="4"/>
        <v>1.0377929603044194E-3</v>
      </c>
      <c r="I30" s="142">
        <v>441143</v>
      </c>
      <c r="J30" s="143">
        <f t="shared" si="2"/>
        <v>62</v>
      </c>
      <c r="K30" s="144">
        <f t="shared" si="0"/>
        <v>5.3619302949061663E-3</v>
      </c>
      <c r="M30" s="142">
        <v>262000</v>
      </c>
      <c r="N30" s="143">
        <f t="shared" si="3"/>
        <v>37</v>
      </c>
      <c r="O30" s="144">
        <f t="shared" si="5"/>
        <v>3.1998616276052928E-3</v>
      </c>
    </row>
    <row r="31" spans="1:15" ht="15" customHeight="1" x14ac:dyDescent="0.3">
      <c r="A31" s="139" t="s">
        <v>431</v>
      </c>
      <c r="B31" s="140">
        <v>3471.875</v>
      </c>
      <c r="C31" s="141">
        <v>16002</v>
      </c>
      <c r="E31" s="142">
        <v>380465</v>
      </c>
      <c r="F31" s="143">
        <f t="shared" si="1"/>
        <v>110</v>
      </c>
      <c r="G31" s="144">
        <f t="shared" si="4"/>
        <v>6.8741407324084489E-3</v>
      </c>
      <c r="I31" s="142">
        <v>3189675</v>
      </c>
      <c r="J31" s="143">
        <f t="shared" si="2"/>
        <v>919</v>
      </c>
      <c r="K31" s="144">
        <f t="shared" si="0"/>
        <v>5.743032120984877E-2</v>
      </c>
      <c r="M31" s="142">
        <v>295000</v>
      </c>
      <c r="N31" s="143">
        <f t="shared" si="3"/>
        <v>85</v>
      </c>
      <c r="O31" s="144">
        <f t="shared" si="5"/>
        <v>5.3118360204974374E-3</v>
      </c>
    </row>
    <row r="32" spans="1:15" ht="15" customHeight="1" x14ac:dyDescent="0.3">
      <c r="A32" s="139" t="s">
        <v>432</v>
      </c>
      <c r="B32" s="140">
        <v>3040.5625</v>
      </c>
      <c r="C32" s="141">
        <v>14552</v>
      </c>
      <c r="E32" s="142">
        <v>91754</v>
      </c>
      <c r="F32" s="143">
        <f t="shared" si="1"/>
        <v>30</v>
      </c>
      <c r="G32" s="144">
        <f t="shared" si="4"/>
        <v>2.0615722924683891E-3</v>
      </c>
      <c r="I32" s="142">
        <v>920195</v>
      </c>
      <c r="J32" s="143">
        <f t="shared" si="2"/>
        <v>303</v>
      </c>
      <c r="K32" s="144">
        <f t="shared" si="0"/>
        <v>2.082188015393073E-2</v>
      </c>
      <c r="M32" s="142">
        <v>350000</v>
      </c>
      <c r="N32" s="143">
        <f t="shared" si="3"/>
        <v>115</v>
      </c>
      <c r="O32" s="144">
        <f t="shared" si="5"/>
        <v>7.9026937877954926E-3</v>
      </c>
    </row>
    <row r="33" spans="1:15" ht="15" customHeight="1" x14ac:dyDescent="0.3">
      <c r="A33" s="139" t="s">
        <v>433</v>
      </c>
      <c r="B33" s="140">
        <v>5291.6875</v>
      </c>
      <c r="C33" s="141">
        <v>13694</v>
      </c>
      <c r="E33" s="142">
        <v>265534</v>
      </c>
      <c r="F33" s="143">
        <f t="shared" si="1"/>
        <v>50</v>
      </c>
      <c r="G33" s="144">
        <f t="shared" si="4"/>
        <v>3.6512341171315906E-3</v>
      </c>
      <c r="I33" s="142">
        <v>1941888</v>
      </c>
      <c r="J33" s="143">
        <f t="shared" si="2"/>
        <v>367</v>
      </c>
      <c r="K33" s="144">
        <f t="shared" si="0"/>
        <v>2.6800058419745875E-2</v>
      </c>
      <c r="M33" s="142">
        <v>219000</v>
      </c>
      <c r="N33" s="143">
        <f t="shared" si="3"/>
        <v>41</v>
      </c>
      <c r="O33" s="144">
        <f t="shared" si="5"/>
        <v>2.9940119760479044E-3</v>
      </c>
    </row>
    <row r="34" spans="1:15" ht="15" customHeight="1" x14ac:dyDescent="0.3">
      <c r="A34" s="139" t="s">
        <v>434</v>
      </c>
      <c r="B34" s="140">
        <v>223.5</v>
      </c>
      <c r="C34" s="141">
        <v>39993</v>
      </c>
      <c r="E34" s="142">
        <v>80277</v>
      </c>
      <c r="F34" s="143">
        <f t="shared" si="1"/>
        <v>359</v>
      </c>
      <c r="G34" s="144">
        <f t="shared" si="4"/>
        <v>8.9765708999074833E-3</v>
      </c>
      <c r="I34" s="142">
        <v>500178</v>
      </c>
      <c r="J34" s="143">
        <f t="shared" si="2"/>
        <v>2238</v>
      </c>
      <c r="K34" s="144">
        <f t="shared" si="0"/>
        <v>5.5959792963768656E-2</v>
      </c>
      <c r="M34" s="142">
        <v>13000</v>
      </c>
      <c r="N34" s="143">
        <f t="shared" si="3"/>
        <v>58</v>
      </c>
      <c r="O34" s="144">
        <f t="shared" si="5"/>
        <v>1.4502537944140225E-3</v>
      </c>
    </row>
    <row r="35" spans="1:15" ht="15" customHeight="1" x14ac:dyDescent="0.3">
      <c r="A35" s="139" t="s">
        <v>435</v>
      </c>
      <c r="B35" s="140">
        <v>476.3125</v>
      </c>
      <c r="C35" s="141">
        <v>28689</v>
      </c>
      <c r="E35" s="142">
        <v>149851</v>
      </c>
      <c r="F35" s="143">
        <f t="shared" si="1"/>
        <v>315</v>
      </c>
      <c r="G35" s="144">
        <f t="shared" si="4"/>
        <v>1.0979818048729478E-2</v>
      </c>
      <c r="I35" s="142">
        <v>826902</v>
      </c>
      <c r="J35" s="143">
        <f t="shared" si="2"/>
        <v>1736</v>
      </c>
      <c r="K35" s="144">
        <f t="shared" si="0"/>
        <v>6.0510997246331348E-2</v>
      </c>
      <c r="M35" s="142">
        <v>32000</v>
      </c>
      <c r="N35" s="143">
        <f t="shared" si="3"/>
        <v>67</v>
      </c>
      <c r="O35" s="144">
        <f t="shared" si="5"/>
        <v>2.3353898706821429E-3</v>
      </c>
    </row>
    <row r="36" spans="1:15" ht="15" customHeight="1" x14ac:dyDescent="0.3">
      <c r="A36" s="139" t="s">
        <v>436</v>
      </c>
      <c r="B36" s="140">
        <v>1311.625</v>
      </c>
      <c r="C36" s="141">
        <v>17718</v>
      </c>
      <c r="E36" s="142">
        <v>153588</v>
      </c>
      <c r="F36" s="143">
        <f t="shared" si="1"/>
        <v>117</v>
      </c>
      <c r="G36" s="144">
        <f t="shared" si="4"/>
        <v>6.6034541144598712E-3</v>
      </c>
      <c r="I36" s="142">
        <v>922319</v>
      </c>
      <c r="J36" s="143">
        <f t="shared" si="2"/>
        <v>703</v>
      </c>
      <c r="K36" s="144">
        <f t="shared" si="0"/>
        <v>3.9677164465515294E-2</v>
      </c>
      <c r="M36" s="142">
        <v>85000</v>
      </c>
      <c r="N36" s="143">
        <f t="shared" si="3"/>
        <v>65</v>
      </c>
      <c r="O36" s="144">
        <f t="shared" si="5"/>
        <v>3.6685856191443727E-3</v>
      </c>
    </row>
    <row r="37" spans="1:15" ht="15" customHeight="1" x14ac:dyDescent="0.3">
      <c r="A37" s="139" t="s">
        <v>437</v>
      </c>
      <c r="B37" s="140">
        <v>1831.5</v>
      </c>
      <c r="C37" s="141">
        <v>17383</v>
      </c>
      <c r="E37" s="142">
        <v>117597</v>
      </c>
      <c r="F37" s="143">
        <f t="shared" si="1"/>
        <v>64</v>
      </c>
      <c r="G37" s="144">
        <f t="shared" si="4"/>
        <v>3.6817580394638439E-3</v>
      </c>
      <c r="I37" s="142">
        <v>642724</v>
      </c>
      <c r="J37" s="143">
        <f t="shared" si="2"/>
        <v>351</v>
      </c>
      <c r="K37" s="144">
        <f t="shared" si="0"/>
        <v>2.0192141747684519E-2</v>
      </c>
      <c r="M37" s="142">
        <v>123000</v>
      </c>
      <c r="N37" s="143">
        <f t="shared" si="3"/>
        <v>67</v>
      </c>
      <c r="O37" s="144">
        <f t="shared" si="5"/>
        <v>3.8543404475637117E-3</v>
      </c>
    </row>
    <row r="38" spans="1:15" ht="15" customHeight="1" x14ac:dyDescent="0.3">
      <c r="A38" s="139" t="s">
        <v>438</v>
      </c>
      <c r="B38" s="140">
        <v>2362.8125</v>
      </c>
      <c r="C38" s="141">
        <v>16296</v>
      </c>
      <c r="E38" s="142">
        <v>209099</v>
      </c>
      <c r="F38" s="143">
        <f t="shared" si="1"/>
        <v>88</v>
      </c>
      <c r="G38" s="144">
        <f t="shared" si="4"/>
        <v>5.4000981836033381E-3</v>
      </c>
      <c r="I38" s="142">
        <v>1346567</v>
      </c>
      <c r="J38" s="143">
        <f t="shared" si="2"/>
        <v>570</v>
      </c>
      <c r="K38" s="144">
        <f t="shared" si="0"/>
        <v>3.4977908689248896E-2</v>
      </c>
      <c r="M38" s="142">
        <v>201000</v>
      </c>
      <c r="N38" s="143">
        <f t="shared" si="3"/>
        <v>85</v>
      </c>
      <c r="O38" s="144">
        <f t="shared" si="5"/>
        <v>5.2160039273441332E-3</v>
      </c>
    </row>
    <row r="39" spans="1:15" ht="15" customHeight="1" x14ac:dyDescent="0.3">
      <c r="A39" s="139" t="s">
        <v>439</v>
      </c>
      <c r="B39" s="140">
        <v>1929.875</v>
      </c>
      <c r="C39" s="141">
        <v>14707</v>
      </c>
      <c r="E39" s="142">
        <v>163737</v>
      </c>
      <c r="F39" s="143">
        <f t="shared" si="1"/>
        <v>85</v>
      </c>
      <c r="G39" s="144">
        <f t="shared" si="4"/>
        <v>5.7795607533827429E-3</v>
      </c>
      <c r="I39" s="142">
        <v>1051455</v>
      </c>
      <c r="J39" s="143">
        <f t="shared" si="2"/>
        <v>545</v>
      </c>
      <c r="K39" s="144">
        <f t="shared" si="0"/>
        <v>3.7057183654042293E-2</v>
      </c>
      <c r="M39" s="142">
        <v>109000</v>
      </c>
      <c r="N39" s="143">
        <f t="shared" si="3"/>
        <v>56</v>
      </c>
      <c r="O39" s="144">
        <f t="shared" si="5"/>
        <v>3.8077106139933364E-3</v>
      </c>
    </row>
    <row r="40" spans="1:15" ht="15" customHeight="1" x14ac:dyDescent="0.3">
      <c r="A40" s="139" t="s">
        <v>440</v>
      </c>
      <c r="B40" s="140">
        <v>13182.9375</v>
      </c>
      <c r="C40" s="141">
        <v>14051</v>
      </c>
      <c r="E40" s="142">
        <v>687663</v>
      </c>
      <c r="F40" s="143">
        <f t="shared" si="1"/>
        <v>52</v>
      </c>
      <c r="G40" s="144">
        <f t="shared" si="4"/>
        <v>3.7008042132232583E-3</v>
      </c>
      <c r="I40" s="142">
        <v>4165326</v>
      </c>
      <c r="J40" s="143">
        <f t="shared" si="2"/>
        <v>316</v>
      </c>
      <c r="K40" s="144">
        <f t="shared" si="0"/>
        <v>2.2489502526510569E-2</v>
      </c>
      <c r="M40" s="142">
        <v>856000</v>
      </c>
      <c r="N40" s="143">
        <f t="shared" si="3"/>
        <v>65</v>
      </c>
      <c r="O40" s="144">
        <f t="shared" si="5"/>
        <v>4.626005266529073E-3</v>
      </c>
    </row>
    <row r="41" spans="1:15" ht="15" customHeight="1" x14ac:dyDescent="0.3">
      <c r="A41" s="139" t="s">
        <v>441</v>
      </c>
      <c r="B41" s="140">
        <v>2048.9375</v>
      </c>
      <c r="C41" s="141">
        <v>15897</v>
      </c>
      <c r="E41" s="142">
        <v>170292</v>
      </c>
      <c r="F41" s="143">
        <f t="shared" si="1"/>
        <v>83</v>
      </c>
      <c r="G41" s="144">
        <f t="shared" si="4"/>
        <v>5.221110901427942E-3</v>
      </c>
      <c r="I41" s="142">
        <v>867188</v>
      </c>
      <c r="J41" s="143">
        <f t="shared" si="2"/>
        <v>423</v>
      </c>
      <c r="K41" s="144">
        <f t="shared" si="0"/>
        <v>2.6608794112096622E-2</v>
      </c>
      <c r="M41" s="142">
        <v>117000</v>
      </c>
      <c r="N41" s="143">
        <f t="shared" si="3"/>
        <v>57</v>
      </c>
      <c r="O41" s="144">
        <f t="shared" si="5"/>
        <v>3.5855821853179844E-3</v>
      </c>
    </row>
    <row r="42" spans="1:15" ht="15" customHeight="1" x14ac:dyDescent="0.3">
      <c r="A42" s="139" t="s">
        <v>442</v>
      </c>
      <c r="B42" s="140">
        <v>3692.9375</v>
      </c>
      <c r="C42" s="141">
        <v>15784</v>
      </c>
      <c r="E42" s="142">
        <v>441458</v>
      </c>
      <c r="F42" s="143">
        <f t="shared" si="1"/>
        <v>120</v>
      </c>
      <c r="G42" s="144">
        <f t="shared" si="4"/>
        <v>7.6026355803345156E-3</v>
      </c>
      <c r="I42" s="142">
        <v>2730999</v>
      </c>
      <c r="J42" s="143">
        <f t="shared" si="2"/>
        <v>740</v>
      </c>
      <c r="K42" s="144">
        <f t="shared" si="0"/>
        <v>4.6882919412062851E-2</v>
      </c>
      <c r="M42" s="142">
        <v>185000</v>
      </c>
      <c r="N42" s="143">
        <f t="shared" si="3"/>
        <v>50</v>
      </c>
      <c r="O42" s="144">
        <f t="shared" si="5"/>
        <v>3.1677648251393817E-3</v>
      </c>
    </row>
    <row r="43" spans="1:15" ht="15" customHeight="1" x14ac:dyDescent="0.3">
      <c r="A43" s="139" t="s">
        <v>443</v>
      </c>
      <c r="B43" s="140">
        <v>5969.5</v>
      </c>
      <c r="C43" s="141">
        <v>14319</v>
      </c>
      <c r="E43" s="142">
        <v>425785</v>
      </c>
      <c r="F43" s="143">
        <f t="shared" si="1"/>
        <v>71</v>
      </c>
      <c r="G43" s="144">
        <f t="shared" si="4"/>
        <v>4.9584468189119348E-3</v>
      </c>
      <c r="I43" s="142">
        <v>2389589</v>
      </c>
      <c r="J43" s="143">
        <f t="shared" si="2"/>
        <v>400</v>
      </c>
      <c r="K43" s="144">
        <f t="shared" si="0"/>
        <v>2.7934911655841888E-2</v>
      </c>
      <c r="M43" s="142">
        <v>292000</v>
      </c>
      <c r="N43" s="143">
        <f t="shared" si="3"/>
        <v>49</v>
      </c>
      <c r="O43" s="144">
        <f t="shared" si="5"/>
        <v>3.4220266778406312E-3</v>
      </c>
    </row>
    <row r="44" spans="1:15" ht="15" customHeight="1" x14ac:dyDescent="0.3">
      <c r="A44" s="139" t="s">
        <v>444</v>
      </c>
      <c r="B44" s="140">
        <v>20399.128199999999</v>
      </c>
      <c r="C44" s="141">
        <v>12749</v>
      </c>
      <c r="E44" s="142">
        <v>20027</v>
      </c>
      <c r="F44" s="143">
        <f t="shared" si="1"/>
        <v>1</v>
      </c>
      <c r="G44" s="144">
        <f t="shared" si="4"/>
        <v>7.8437524511726405E-5</v>
      </c>
      <c r="I44" s="142">
        <v>130201</v>
      </c>
      <c r="J44" s="143">
        <f t="shared" si="2"/>
        <v>6</v>
      </c>
      <c r="K44" s="144">
        <f t="shared" si="0"/>
        <v>4.7062514707035846E-4</v>
      </c>
      <c r="M44" s="142">
        <v>1041000</v>
      </c>
      <c r="N44" s="143">
        <f t="shared" si="3"/>
        <v>51</v>
      </c>
      <c r="O44" s="144">
        <f t="shared" si="5"/>
        <v>4.0003137500980472E-3</v>
      </c>
    </row>
    <row r="45" spans="1:15" ht="15" customHeight="1" x14ac:dyDescent="0.3">
      <c r="A45" s="139" t="s">
        <v>445</v>
      </c>
      <c r="B45" s="140">
        <v>13131.5</v>
      </c>
      <c r="C45" s="141">
        <v>13793</v>
      </c>
      <c r="E45" s="142">
        <v>358365</v>
      </c>
      <c r="F45" s="143">
        <f t="shared" si="1"/>
        <v>27</v>
      </c>
      <c r="G45" s="144">
        <f t="shared" si="4"/>
        <v>1.9575146813601103E-3</v>
      </c>
      <c r="I45" s="142">
        <v>2257103</v>
      </c>
      <c r="J45" s="143">
        <f t="shared" si="2"/>
        <v>172</v>
      </c>
      <c r="K45" s="144">
        <f t="shared" si="0"/>
        <v>1.2470093525701442E-2</v>
      </c>
      <c r="M45" s="142">
        <v>693000</v>
      </c>
      <c r="N45" s="143">
        <f t="shared" si="3"/>
        <v>53</v>
      </c>
      <c r="O45" s="144">
        <f t="shared" si="5"/>
        <v>3.8425288189661423E-3</v>
      </c>
    </row>
    <row r="46" spans="1:15" ht="15" customHeight="1" x14ac:dyDescent="0.3">
      <c r="A46" s="139" t="s">
        <v>446</v>
      </c>
      <c r="B46" s="140">
        <v>7383.9375</v>
      </c>
      <c r="C46" s="141">
        <v>13516</v>
      </c>
      <c r="E46" s="142">
        <v>280000</v>
      </c>
      <c r="F46" s="143">
        <f t="shared" si="1"/>
        <v>38</v>
      </c>
      <c r="G46" s="144">
        <f t="shared" si="4"/>
        <v>2.8114826871855577E-3</v>
      </c>
      <c r="I46" s="142">
        <v>1669615</v>
      </c>
      <c r="J46" s="143">
        <f t="shared" si="2"/>
        <v>226</v>
      </c>
      <c r="K46" s="144">
        <f t="shared" si="0"/>
        <v>1.672092335010358E-2</v>
      </c>
      <c r="M46" s="142">
        <v>402000</v>
      </c>
      <c r="N46" s="143">
        <f t="shared" si="3"/>
        <v>54</v>
      </c>
      <c r="O46" s="144">
        <f t="shared" si="5"/>
        <v>3.9952648712636872E-3</v>
      </c>
    </row>
    <row r="47" spans="1:15" ht="15" customHeight="1" x14ac:dyDescent="0.3">
      <c r="A47" s="139" t="s">
        <v>447</v>
      </c>
      <c r="B47" s="140">
        <v>1513.125</v>
      </c>
      <c r="C47" s="141">
        <v>17395</v>
      </c>
      <c r="E47" s="142">
        <v>328264</v>
      </c>
      <c r="F47" s="143">
        <f t="shared" si="1"/>
        <v>217</v>
      </c>
      <c r="G47" s="144">
        <f t="shared" si="4"/>
        <v>1.2474849094567404E-2</v>
      </c>
      <c r="I47" s="142">
        <v>2011723</v>
      </c>
      <c r="J47" s="143">
        <f t="shared" si="2"/>
        <v>1330</v>
      </c>
      <c r="K47" s="144">
        <f t="shared" si="0"/>
        <v>7.6458752515090544E-2</v>
      </c>
      <c r="M47" s="142">
        <v>46000</v>
      </c>
      <c r="N47" s="143">
        <f t="shared" si="3"/>
        <v>30</v>
      </c>
      <c r="O47" s="144">
        <f t="shared" si="5"/>
        <v>1.7246335153779822E-3</v>
      </c>
    </row>
    <row r="48" spans="1:15" ht="15" customHeight="1" x14ac:dyDescent="0.3">
      <c r="A48" s="139" t="s">
        <v>448</v>
      </c>
      <c r="B48" s="140">
        <v>5798</v>
      </c>
      <c r="C48" s="141">
        <v>13310</v>
      </c>
      <c r="E48" s="142">
        <v>167035</v>
      </c>
      <c r="F48" s="143">
        <f t="shared" si="1"/>
        <v>29</v>
      </c>
      <c r="G48" s="144">
        <f t="shared" si="4"/>
        <v>2.1788129226145755E-3</v>
      </c>
      <c r="I48" s="142">
        <v>1049560</v>
      </c>
      <c r="J48" s="143">
        <f t="shared" si="2"/>
        <v>181</v>
      </c>
      <c r="K48" s="144">
        <f t="shared" si="0"/>
        <v>1.3598797896318557E-2</v>
      </c>
      <c r="M48" s="142">
        <v>406000</v>
      </c>
      <c r="N48" s="143">
        <f t="shared" si="3"/>
        <v>70</v>
      </c>
      <c r="O48" s="144">
        <f t="shared" si="5"/>
        <v>5.2592036063110444E-3</v>
      </c>
    </row>
    <row r="49" spans="1:15" ht="15" customHeight="1" x14ac:dyDescent="0.3">
      <c r="A49" s="139" t="s">
        <v>449</v>
      </c>
      <c r="B49" s="140">
        <v>15036.5625</v>
      </c>
      <c r="C49" s="141">
        <v>12393</v>
      </c>
      <c r="E49" s="142">
        <v>244630</v>
      </c>
      <c r="F49" s="143">
        <f t="shared" si="1"/>
        <v>16</v>
      </c>
      <c r="G49" s="144">
        <f t="shared" si="4"/>
        <v>1.2910513999838619E-3</v>
      </c>
      <c r="I49" s="142">
        <v>1670045</v>
      </c>
      <c r="J49" s="143">
        <f t="shared" si="2"/>
        <v>111</v>
      </c>
      <c r="K49" s="144">
        <f t="shared" si="0"/>
        <v>8.9566690873880417E-3</v>
      </c>
      <c r="M49" s="142">
        <v>685000</v>
      </c>
      <c r="N49" s="143">
        <f t="shared" si="3"/>
        <v>46</v>
      </c>
      <c r="O49" s="144">
        <f t="shared" si="5"/>
        <v>3.7117727749536029E-3</v>
      </c>
    </row>
    <row r="50" spans="1:15" ht="15" customHeight="1" x14ac:dyDescent="0.3">
      <c r="A50" s="139" t="s">
        <v>450</v>
      </c>
      <c r="B50" s="140">
        <v>4346.8125</v>
      </c>
      <c r="C50" s="141">
        <v>13581</v>
      </c>
      <c r="E50" s="142">
        <v>426341</v>
      </c>
      <c r="F50" s="143">
        <f t="shared" si="1"/>
        <v>98</v>
      </c>
      <c r="G50" s="144">
        <f t="shared" si="4"/>
        <v>7.2159634783889254E-3</v>
      </c>
      <c r="I50" s="142">
        <v>2452242</v>
      </c>
      <c r="J50" s="143">
        <f t="shared" si="2"/>
        <v>564</v>
      </c>
      <c r="K50" s="144">
        <f t="shared" si="0"/>
        <v>4.1528606140932185E-2</v>
      </c>
      <c r="M50" s="142">
        <v>218000</v>
      </c>
      <c r="N50" s="143">
        <f t="shared" si="3"/>
        <v>50</v>
      </c>
      <c r="O50" s="144">
        <f t="shared" si="5"/>
        <v>3.6816140195861866E-3</v>
      </c>
    </row>
    <row r="51" spans="1:15" ht="15" customHeight="1" x14ac:dyDescent="0.3">
      <c r="A51" s="139" t="s">
        <v>451</v>
      </c>
      <c r="B51" s="140">
        <v>3971.1875</v>
      </c>
      <c r="C51" s="141">
        <v>13778</v>
      </c>
      <c r="E51" s="142">
        <v>71717</v>
      </c>
      <c r="F51" s="143">
        <f t="shared" si="1"/>
        <v>18</v>
      </c>
      <c r="G51" s="144">
        <f t="shared" si="4"/>
        <v>1.30643054144288E-3</v>
      </c>
      <c r="I51" s="142">
        <v>591656</v>
      </c>
      <c r="J51" s="143">
        <f t="shared" si="2"/>
        <v>149</v>
      </c>
      <c r="K51" s="144">
        <f t="shared" si="0"/>
        <v>1.0814341704166062E-2</v>
      </c>
      <c r="M51" s="142">
        <v>164000</v>
      </c>
      <c r="N51" s="143">
        <f t="shared" si="3"/>
        <v>41</v>
      </c>
      <c r="O51" s="144">
        <f t="shared" si="5"/>
        <v>2.975758455508782E-3</v>
      </c>
    </row>
    <row r="52" spans="1:15" ht="15" customHeight="1" x14ac:dyDescent="0.3">
      <c r="A52" s="139" t="s">
        <v>452</v>
      </c>
      <c r="B52" s="140">
        <v>10139.5</v>
      </c>
      <c r="C52" s="141">
        <v>12811</v>
      </c>
      <c r="E52" s="142">
        <v>421375</v>
      </c>
      <c r="F52" s="143">
        <f t="shared" si="1"/>
        <v>42</v>
      </c>
      <c r="G52" s="144">
        <f t="shared" si="4"/>
        <v>3.2784325969869642E-3</v>
      </c>
      <c r="I52" s="142">
        <v>3925860</v>
      </c>
      <c r="J52" s="143">
        <f t="shared" si="2"/>
        <v>387</v>
      </c>
      <c r="K52" s="144">
        <f t="shared" si="0"/>
        <v>3.0208414643665599E-2</v>
      </c>
      <c r="M52" s="142">
        <v>476000</v>
      </c>
      <c r="N52" s="143">
        <f t="shared" si="3"/>
        <v>47</v>
      </c>
      <c r="O52" s="144">
        <f t="shared" si="5"/>
        <v>3.6687221918663649E-3</v>
      </c>
    </row>
    <row r="53" spans="1:15" ht="15" customHeight="1" x14ac:dyDescent="0.3">
      <c r="A53" s="139" t="s">
        <v>453</v>
      </c>
      <c r="B53" s="140">
        <v>5679.5625</v>
      </c>
      <c r="C53" s="141">
        <v>13529</v>
      </c>
      <c r="E53" s="142">
        <v>316860</v>
      </c>
      <c r="F53" s="143">
        <f t="shared" si="1"/>
        <v>56</v>
      </c>
      <c r="G53" s="144">
        <f t="shared" si="4"/>
        <v>4.1392564121516739E-3</v>
      </c>
      <c r="I53" s="142">
        <v>1980406</v>
      </c>
      <c r="J53" s="143">
        <f t="shared" si="2"/>
        <v>349</v>
      </c>
      <c r="K53" s="144">
        <f t="shared" si="0"/>
        <v>2.5796437282873827E-2</v>
      </c>
      <c r="M53" s="142">
        <v>351000</v>
      </c>
      <c r="N53" s="143">
        <f t="shared" si="3"/>
        <v>62</v>
      </c>
      <c r="O53" s="144">
        <f t="shared" si="5"/>
        <v>4.5827481705964963E-3</v>
      </c>
    </row>
    <row r="54" spans="1:15" ht="15" customHeight="1" x14ac:dyDescent="0.3">
      <c r="A54" s="139" t="s">
        <v>454</v>
      </c>
      <c r="B54" s="140">
        <v>15835</v>
      </c>
      <c r="C54" s="141">
        <v>13445</v>
      </c>
      <c r="E54" s="142">
        <v>666817</v>
      </c>
      <c r="F54" s="143">
        <f t="shared" si="1"/>
        <v>42</v>
      </c>
      <c r="G54" s="144">
        <f t="shared" si="4"/>
        <v>3.1238378579397544E-3</v>
      </c>
      <c r="I54" s="142">
        <v>4811392</v>
      </c>
      <c r="J54" s="143">
        <f t="shared" si="2"/>
        <v>304</v>
      </c>
      <c r="K54" s="144">
        <f t="shared" si="0"/>
        <v>2.2610635924135366E-2</v>
      </c>
      <c r="M54" s="142">
        <v>962000</v>
      </c>
      <c r="N54" s="143">
        <f t="shared" si="3"/>
        <v>61</v>
      </c>
      <c r="O54" s="144">
        <f t="shared" si="5"/>
        <v>4.5370026031982154E-3</v>
      </c>
    </row>
    <row r="55" spans="1:15" ht="15" customHeight="1" x14ac:dyDescent="0.3">
      <c r="A55" s="139" t="s">
        <v>455</v>
      </c>
      <c r="B55" s="140">
        <v>1029.125</v>
      </c>
      <c r="C55" s="141">
        <v>23124</v>
      </c>
      <c r="E55" s="142">
        <v>366932</v>
      </c>
      <c r="F55" s="143">
        <f t="shared" si="1"/>
        <v>357</v>
      </c>
      <c r="G55" s="144">
        <f t="shared" si="4"/>
        <v>1.5438505448884277E-2</v>
      </c>
      <c r="I55" s="142">
        <v>2183067</v>
      </c>
      <c r="J55" s="143">
        <f t="shared" si="2"/>
        <v>2121</v>
      </c>
      <c r="K55" s="144">
        <f t="shared" si="0"/>
        <v>9.1722885313959529E-2</v>
      </c>
      <c r="M55" s="142">
        <v>48000</v>
      </c>
      <c r="N55" s="143">
        <f t="shared" si="3"/>
        <v>47</v>
      </c>
      <c r="O55" s="144">
        <f t="shared" si="5"/>
        <v>2.0325203252032522E-3</v>
      </c>
    </row>
    <row r="56" spans="1:15" ht="15" customHeight="1" x14ac:dyDescent="0.3">
      <c r="A56" s="139" t="s">
        <v>456</v>
      </c>
      <c r="B56" s="140">
        <v>6560.125</v>
      </c>
      <c r="C56" s="141">
        <v>13860</v>
      </c>
      <c r="E56" s="142">
        <v>188900</v>
      </c>
      <c r="F56" s="143">
        <f t="shared" si="1"/>
        <v>29</v>
      </c>
      <c r="G56" s="144">
        <f t="shared" si="4"/>
        <v>2.0923520923520926E-3</v>
      </c>
      <c r="I56" s="142">
        <v>1366823</v>
      </c>
      <c r="J56" s="143">
        <f t="shared" si="2"/>
        <v>208</v>
      </c>
      <c r="K56" s="144">
        <f t="shared" si="0"/>
        <v>1.5007215007215007E-2</v>
      </c>
      <c r="M56" s="142">
        <v>420000</v>
      </c>
      <c r="N56" s="143">
        <f t="shared" si="3"/>
        <v>64</v>
      </c>
      <c r="O56" s="144">
        <f t="shared" si="5"/>
        <v>4.6176046176046176E-3</v>
      </c>
    </row>
    <row r="57" spans="1:15" ht="15" customHeight="1" x14ac:dyDescent="0.3">
      <c r="A57" s="139" t="s">
        <v>457</v>
      </c>
      <c r="B57" s="140">
        <v>1721.6875</v>
      </c>
      <c r="C57" s="141">
        <v>18231</v>
      </c>
      <c r="E57" s="142">
        <v>184576</v>
      </c>
      <c r="F57" s="143">
        <f t="shared" si="1"/>
        <v>107</v>
      </c>
      <c r="G57" s="144">
        <f t="shared" si="4"/>
        <v>5.8691240195271792E-3</v>
      </c>
      <c r="I57" s="142">
        <v>1139425</v>
      </c>
      <c r="J57" s="143">
        <f t="shared" si="2"/>
        <v>662</v>
      </c>
      <c r="K57" s="144">
        <f t="shared" si="0"/>
        <v>3.63117766441775E-2</v>
      </c>
      <c r="M57" s="142">
        <v>123000</v>
      </c>
      <c r="N57" s="143">
        <f t="shared" si="3"/>
        <v>71</v>
      </c>
      <c r="O57" s="144">
        <f t="shared" si="5"/>
        <v>3.8944654709012123E-3</v>
      </c>
    </row>
    <row r="58" spans="1:15" ht="15" customHeight="1" x14ac:dyDescent="0.3">
      <c r="A58" s="139" t="s">
        <v>458</v>
      </c>
      <c r="B58" s="140">
        <v>8561.9771000000001</v>
      </c>
      <c r="C58" s="141">
        <v>13477</v>
      </c>
      <c r="E58" s="142">
        <v>283524</v>
      </c>
      <c r="F58" s="143">
        <f t="shared" si="1"/>
        <v>33</v>
      </c>
      <c r="G58" s="144">
        <f t="shared" si="4"/>
        <v>2.4486161608666618E-3</v>
      </c>
      <c r="I58" s="142">
        <v>2169902</v>
      </c>
      <c r="J58" s="143">
        <f t="shared" si="2"/>
        <v>253</v>
      </c>
      <c r="K58" s="144">
        <f t="shared" si="0"/>
        <v>1.877272389997774E-2</v>
      </c>
      <c r="M58" s="142">
        <v>542000</v>
      </c>
      <c r="N58" s="143">
        <f t="shared" si="3"/>
        <v>63</v>
      </c>
      <c r="O58" s="144">
        <f t="shared" si="5"/>
        <v>4.6746308525636273E-3</v>
      </c>
    </row>
    <row r="59" spans="1:15" ht="15" customHeight="1" x14ac:dyDescent="0.3">
      <c r="A59" s="139" t="s">
        <v>459</v>
      </c>
      <c r="B59" s="140">
        <v>654.375</v>
      </c>
      <c r="C59" s="141">
        <v>19461</v>
      </c>
      <c r="E59" s="142">
        <v>32744</v>
      </c>
      <c r="F59" s="143">
        <f t="shared" si="1"/>
        <v>50</v>
      </c>
      <c r="G59" s="144">
        <f t="shared" si="4"/>
        <v>2.569241046194954E-3</v>
      </c>
      <c r="I59" s="142">
        <v>161863</v>
      </c>
      <c r="J59" s="143">
        <f t="shared" si="2"/>
        <v>247</v>
      </c>
      <c r="K59" s="144">
        <f t="shared" si="0"/>
        <v>1.2692050768203072E-2</v>
      </c>
      <c r="M59" s="142">
        <v>32000</v>
      </c>
      <c r="N59" s="143">
        <f t="shared" si="3"/>
        <v>49</v>
      </c>
      <c r="O59" s="144">
        <f t="shared" si="5"/>
        <v>2.517856225271055E-3</v>
      </c>
    </row>
    <row r="60" spans="1:15" ht="15" customHeight="1" x14ac:dyDescent="0.3">
      <c r="A60" s="139" t="s">
        <v>460</v>
      </c>
      <c r="B60" s="140">
        <v>4207.875</v>
      </c>
      <c r="C60" s="141">
        <v>16142</v>
      </c>
      <c r="E60" s="142">
        <v>557786</v>
      </c>
      <c r="F60" s="143">
        <f t="shared" si="1"/>
        <v>133</v>
      </c>
      <c r="G60" s="144">
        <f t="shared" si="4"/>
        <v>8.2393755420641802E-3</v>
      </c>
      <c r="I60" s="142">
        <v>3101225</v>
      </c>
      <c r="J60" s="143">
        <f t="shared" si="2"/>
        <v>737</v>
      </c>
      <c r="K60" s="144">
        <f t="shared" si="0"/>
        <v>4.565729153760377E-2</v>
      </c>
      <c r="M60" s="142">
        <v>234000</v>
      </c>
      <c r="N60" s="143">
        <f t="shared" si="3"/>
        <v>56</v>
      </c>
      <c r="O60" s="144">
        <f t="shared" si="5"/>
        <v>3.469210754553339E-3</v>
      </c>
    </row>
    <row r="61" spans="1:15" ht="15" customHeight="1" x14ac:dyDescent="0.3">
      <c r="A61" s="139" t="s">
        <v>461</v>
      </c>
      <c r="B61" s="140">
        <v>6761.9375</v>
      </c>
      <c r="C61" s="141">
        <v>14653</v>
      </c>
      <c r="E61" s="142">
        <v>561925</v>
      </c>
      <c r="F61" s="143">
        <f t="shared" si="1"/>
        <v>83</v>
      </c>
      <c r="G61" s="144">
        <f t="shared" si="4"/>
        <v>5.6643690711799628E-3</v>
      </c>
      <c r="I61" s="142">
        <v>4563632</v>
      </c>
      <c r="J61" s="143">
        <f t="shared" si="2"/>
        <v>675</v>
      </c>
      <c r="K61" s="144">
        <f t="shared" si="0"/>
        <v>4.6065652084897289E-2</v>
      </c>
      <c r="M61" s="142">
        <v>485000</v>
      </c>
      <c r="N61" s="143">
        <f t="shared" si="3"/>
        <v>72</v>
      </c>
      <c r="O61" s="144">
        <f t="shared" si="5"/>
        <v>4.9136695557223777E-3</v>
      </c>
    </row>
    <row r="62" spans="1:15" ht="15" customHeight="1" x14ac:dyDescent="0.3">
      <c r="A62" s="139" t="s">
        <v>462</v>
      </c>
      <c r="B62" s="140">
        <v>311.8125</v>
      </c>
      <c r="C62" s="141">
        <v>39176</v>
      </c>
      <c r="E62" s="142">
        <v>57593</v>
      </c>
      <c r="F62" s="143">
        <f t="shared" si="1"/>
        <v>185</v>
      </c>
      <c r="G62" s="144">
        <f t="shared" si="4"/>
        <v>4.7222789462936492E-3</v>
      </c>
      <c r="I62" s="142">
        <v>305299</v>
      </c>
      <c r="J62" s="143">
        <f t="shared" si="2"/>
        <v>979</v>
      </c>
      <c r="K62" s="144">
        <f t="shared" si="0"/>
        <v>2.4989789667143148E-2</v>
      </c>
      <c r="M62" s="142">
        <v>24000</v>
      </c>
      <c r="N62" s="143">
        <f t="shared" si="3"/>
        <v>77</v>
      </c>
      <c r="O62" s="144">
        <f t="shared" si="5"/>
        <v>1.9654890749438432E-3</v>
      </c>
    </row>
    <row r="63" spans="1:15" ht="15" customHeight="1" x14ac:dyDescent="0.3">
      <c r="A63" s="139" t="s">
        <v>463</v>
      </c>
      <c r="B63" s="140">
        <v>1253</v>
      </c>
      <c r="C63" s="141">
        <v>18874</v>
      </c>
      <c r="E63" s="142">
        <v>118179</v>
      </c>
      <c r="F63" s="143">
        <f t="shared" si="1"/>
        <v>94</v>
      </c>
      <c r="G63" s="144">
        <f t="shared" si="4"/>
        <v>4.9803963123874109E-3</v>
      </c>
      <c r="I63" s="142">
        <v>812355</v>
      </c>
      <c r="J63" s="143">
        <f t="shared" si="2"/>
        <v>648</v>
      </c>
      <c r="K63" s="144">
        <f t="shared" si="0"/>
        <v>3.4332944791777051E-2</v>
      </c>
      <c r="M63" s="142">
        <v>88000</v>
      </c>
      <c r="N63" s="143">
        <f t="shared" si="3"/>
        <v>70</v>
      </c>
      <c r="O63" s="144">
        <f t="shared" si="5"/>
        <v>3.7088057645438171E-3</v>
      </c>
    </row>
    <row r="64" spans="1:15" ht="15" customHeight="1" x14ac:dyDescent="0.3">
      <c r="A64" s="139" t="s">
        <v>464</v>
      </c>
      <c r="B64" s="140">
        <v>188.625</v>
      </c>
      <c r="C64" s="141">
        <v>44360</v>
      </c>
      <c r="E64" s="142">
        <v>51181</v>
      </c>
      <c r="F64" s="143">
        <f t="shared" si="1"/>
        <v>271</v>
      </c>
      <c r="G64" s="144">
        <f t="shared" si="4"/>
        <v>6.1091073038773668E-3</v>
      </c>
      <c r="I64" s="142">
        <v>289360</v>
      </c>
      <c r="J64" s="143">
        <f t="shared" si="2"/>
        <v>1534</v>
      </c>
      <c r="K64" s="144">
        <f t="shared" si="0"/>
        <v>3.4580703336339044E-2</v>
      </c>
      <c r="M64" s="142">
        <v>11000</v>
      </c>
      <c r="N64" s="143">
        <f t="shared" si="3"/>
        <v>58</v>
      </c>
      <c r="O64" s="144">
        <f t="shared" si="5"/>
        <v>1.3074842200180342E-3</v>
      </c>
    </row>
    <row r="65" spans="1:15" ht="15" customHeight="1" x14ac:dyDescent="0.3">
      <c r="A65" s="139" t="s">
        <v>465</v>
      </c>
      <c r="B65" s="140">
        <v>3563.8125</v>
      </c>
      <c r="C65" s="141">
        <v>18187</v>
      </c>
      <c r="E65" s="142">
        <v>503247</v>
      </c>
      <c r="F65" s="143">
        <f t="shared" si="1"/>
        <v>141</v>
      </c>
      <c r="G65" s="144">
        <f t="shared" si="4"/>
        <v>7.7527904547204044E-3</v>
      </c>
      <c r="I65" s="142">
        <v>3638973</v>
      </c>
      <c r="J65" s="143">
        <f t="shared" si="2"/>
        <v>1021</v>
      </c>
      <c r="K65" s="144">
        <f t="shared" si="0"/>
        <v>5.6139000384890309E-2</v>
      </c>
      <c r="M65" s="142">
        <v>459000</v>
      </c>
      <c r="N65" s="143">
        <f t="shared" si="3"/>
        <v>129</v>
      </c>
      <c r="O65" s="144">
        <f t="shared" si="5"/>
        <v>7.0929785011271786E-3</v>
      </c>
    </row>
    <row r="66" spans="1:15" ht="15" customHeight="1" x14ac:dyDescent="0.3">
      <c r="A66" s="139" t="s">
        <v>466</v>
      </c>
      <c r="B66" s="140">
        <v>358.375</v>
      </c>
      <c r="C66" s="141">
        <v>30768</v>
      </c>
      <c r="E66" s="142">
        <v>130091</v>
      </c>
      <c r="F66" s="143">
        <f t="shared" si="1"/>
        <v>363</v>
      </c>
      <c r="G66" s="144">
        <f t="shared" si="4"/>
        <v>1.1797971918876755E-2</v>
      </c>
      <c r="I66" s="142">
        <v>819743</v>
      </c>
      <c r="J66" s="143">
        <f t="shared" si="2"/>
        <v>2287</v>
      </c>
      <c r="K66" s="144">
        <f t="shared" si="0"/>
        <v>7.4330473218928758E-2</v>
      </c>
      <c r="M66" s="142">
        <v>11000</v>
      </c>
      <c r="N66" s="143">
        <f t="shared" si="3"/>
        <v>31</v>
      </c>
      <c r="O66" s="144">
        <f t="shared" si="5"/>
        <v>1.0075403016120644E-3</v>
      </c>
    </row>
    <row r="67" spans="1:15" ht="15" customHeight="1" x14ac:dyDescent="0.3">
      <c r="A67" s="145" t="s">
        <v>467</v>
      </c>
      <c r="B67" s="146">
        <v>6227.875</v>
      </c>
      <c r="C67" s="141">
        <v>19309</v>
      </c>
      <c r="E67" s="142">
        <v>750415</v>
      </c>
      <c r="F67" s="143">
        <f t="shared" si="1"/>
        <v>120</v>
      </c>
      <c r="G67" s="144">
        <f t="shared" si="4"/>
        <v>6.2147185250401365E-3</v>
      </c>
      <c r="I67" s="142">
        <v>5753440</v>
      </c>
      <c r="J67" s="143">
        <f t="shared" si="2"/>
        <v>924</v>
      </c>
      <c r="K67" s="144">
        <f t="shared" si="0"/>
        <v>4.7853332642809054E-2</v>
      </c>
      <c r="M67" s="142">
        <v>181000</v>
      </c>
      <c r="N67" s="143">
        <f t="shared" si="3"/>
        <v>29</v>
      </c>
      <c r="O67" s="144">
        <f t="shared" si="5"/>
        <v>1.501890310218033E-3</v>
      </c>
    </row>
    <row r="68" spans="1:15" ht="18" customHeight="1" x14ac:dyDescent="0.3">
      <c r="A68" s="147" t="s">
        <v>468</v>
      </c>
      <c r="B68" s="148">
        <f>SUM(B8:B67)</f>
        <v>582275.07539999997</v>
      </c>
      <c r="C68" s="149">
        <v>13295</v>
      </c>
      <c r="E68" s="150">
        <f>SUM(E8:E67)</f>
        <v>15403131</v>
      </c>
      <c r="F68" s="151">
        <f t="shared" si="1"/>
        <v>26</v>
      </c>
      <c r="G68" s="152">
        <f t="shared" si="4"/>
        <v>1.9556224144415195E-3</v>
      </c>
      <c r="H68" s="153"/>
      <c r="I68" s="150">
        <f>SUM(I8:I67)</f>
        <v>103719407</v>
      </c>
      <c r="J68" s="151">
        <f t="shared" si="2"/>
        <v>178</v>
      </c>
      <c r="K68" s="152">
        <f t="shared" si="0"/>
        <v>1.3388491914253479E-2</v>
      </c>
      <c r="L68" s="153"/>
      <c r="M68" s="150">
        <f>SUM(M8:M67)</f>
        <v>32217000</v>
      </c>
      <c r="N68" s="151">
        <f t="shared" si="3"/>
        <v>55</v>
      </c>
      <c r="O68" s="152">
        <f t="shared" si="5"/>
        <v>4.1368935690109061E-3</v>
      </c>
    </row>
  </sheetData>
  <mergeCells count="5">
    <mergeCell ref="A1:L1"/>
    <mergeCell ref="M1:O1"/>
    <mergeCell ref="E4:G4"/>
    <mergeCell ref="I4:K4"/>
    <mergeCell ref="M4: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AB82-427C-4DCA-B658-C33026699A54}">
  <dimension ref="A1:D207"/>
  <sheetViews>
    <sheetView topLeftCell="A176" zoomScale="85" zoomScaleNormal="85" workbookViewId="0">
      <selection activeCell="H202" sqref="H202"/>
    </sheetView>
  </sheetViews>
  <sheetFormatPr defaultRowHeight="14.4" x14ac:dyDescent="0.3"/>
  <cols>
    <col min="1" max="1" width="23.5546875" customWidth="1"/>
    <col min="2" max="2" width="22.5546875" customWidth="1"/>
    <col min="3" max="3" width="43.6640625" customWidth="1"/>
    <col min="4" max="4" width="47.109375" customWidth="1"/>
  </cols>
  <sheetData>
    <row r="1" spans="1:4" x14ac:dyDescent="0.3">
      <c r="A1" t="s">
        <v>39</v>
      </c>
      <c r="B1" t="s">
        <v>40</v>
      </c>
      <c r="C1" t="s">
        <v>61</v>
      </c>
      <c r="D1" t="s">
        <v>41</v>
      </c>
    </row>
    <row r="2" spans="1:4" x14ac:dyDescent="0.3">
      <c r="A2" t="s">
        <v>42</v>
      </c>
      <c r="B2" t="s">
        <v>44</v>
      </c>
      <c r="C2" t="s">
        <v>11</v>
      </c>
      <c r="D2">
        <f>'(1) Spending Report  '!D6</f>
        <v>0</v>
      </c>
    </row>
    <row r="3" spans="1:4" x14ac:dyDescent="0.3">
      <c r="A3" t="s">
        <v>42</v>
      </c>
      <c r="B3" t="s">
        <v>44</v>
      </c>
      <c r="C3" t="s">
        <v>45</v>
      </c>
      <c r="D3">
        <f>'(1) Spending Report  '!D8</f>
        <v>0</v>
      </c>
    </row>
    <row r="4" spans="1:4" x14ac:dyDescent="0.3">
      <c r="A4" t="s">
        <v>42</v>
      </c>
      <c r="B4" t="s">
        <v>44</v>
      </c>
      <c r="C4" t="s">
        <v>46</v>
      </c>
      <c r="D4">
        <f>'(1) Spending Report  '!D9</f>
        <v>0</v>
      </c>
    </row>
    <row r="5" spans="1:4" x14ac:dyDescent="0.3">
      <c r="A5" t="s">
        <v>42</v>
      </c>
      <c r="B5" t="s">
        <v>259</v>
      </c>
      <c r="C5" t="s">
        <v>250</v>
      </c>
      <c r="D5">
        <f>'(1) Spending Report  '!A13</f>
        <v>0</v>
      </c>
    </row>
    <row r="6" spans="1:4" x14ac:dyDescent="0.3">
      <c r="A6" t="s">
        <v>42</v>
      </c>
      <c r="B6" t="s">
        <v>259</v>
      </c>
      <c r="C6" t="s">
        <v>251</v>
      </c>
      <c r="D6">
        <f>'(1) Spending Report  '!A14</f>
        <v>0</v>
      </c>
    </row>
    <row r="7" spans="1:4" x14ac:dyDescent="0.3">
      <c r="A7" t="s">
        <v>42</v>
      </c>
      <c r="B7" t="s">
        <v>259</v>
      </c>
      <c r="C7" t="s">
        <v>252</v>
      </c>
      <c r="D7">
        <f>'(1) Spending Report  '!A15</f>
        <v>0</v>
      </c>
    </row>
    <row r="8" spans="1:4" x14ac:dyDescent="0.3">
      <c r="A8" t="s">
        <v>42</v>
      </c>
      <c r="B8" t="s">
        <v>259</v>
      </c>
      <c r="C8" t="s">
        <v>253</v>
      </c>
      <c r="D8">
        <f>'(1) Spending Report  '!A16</f>
        <v>0</v>
      </c>
    </row>
    <row r="9" spans="1:4" x14ac:dyDescent="0.3">
      <c r="A9" t="s">
        <v>42</v>
      </c>
      <c r="B9" t="s">
        <v>259</v>
      </c>
      <c r="C9" t="s">
        <v>254</v>
      </c>
      <c r="D9">
        <f>'(1) Spending Report  '!A17</f>
        <v>0</v>
      </c>
    </row>
    <row r="10" spans="1:4" x14ac:dyDescent="0.3">
      <c r="A10" t="s">
        <v>42</v>
      </c>
      <c r="B10" t="s">
        <v>259</v>
      </c>
      <c r="C10" t="s">
        <v>255</v>
      </c>
      <c r="D10">
        <f>'(1) Spending Report  '!A18</f>
        <v>0</v>
      </c>
    </row>
    <row r="11" spans="1:4" x14ac:dyDescent="0.3">
      <c r="A11" t="s">
        <v>42</v>
      </c>
      <c r="B11" t="s">
        <v>259</v>
      </c>
      <c r="C11" t="s">
        <v>256</v>
      </c>
      <c r="D11">
        <f>'(1) Spending Report  '!A19</f>
        <v>0</v>
      </c>
    </row>
    <row r="12" spans="1:4" x14ac:dyDescent="0.3">
      <c r="A12" t="s">
        <v>42</v>
      </c>
      <c r="B12" t="s">
        <v>259</v>
      </c>
      <c r="C12" t="s">
        <v>257</v>
      </c>
      <c r="D12">
        <f>'(1) Spending Report  '!A20</f>
        <v>0</v>
      </c>
    </row>
    <row r="13" spans="1:4" x14ac:dyDescent="0.3">
      <c r="A13" t="s">
        <v>42</v>
      </c>
      <c r="B13" t="s">
        <v>259</v>
      </c>
      <c r="C13" t="s">
        <v>258</v>
      </c>
      <c r="D13">
        <f>'(1) Spending Report  '!A21</f>
        <v>0</v>
      </c>
    </row>
    <row r="14" spans="1:4" x14ac:dyDescent="0.3">
      <c r="A14" t="s">
        <v>42</v>
      </c>
      <c r="B14" t="s">
        <v>259</v>
      </c>
      <c r="C14" t="s">
        <v>366</v>
      </c>
      <c r="D14">
        <f>'(1) Spending Report  '!A22</f>
        <v>0</v>
      </c>
    </row>
    <row r="15" spans="1:4" x14ac:dyDescent="0.3">
      <c r="A15" t="s">
        <v>42</v>
      </c>
      <c r="B15" t="s">
        <v>259</v>
      </c>
      <c r="C15" t="s">
        <v>367</v>
      </c>
      <c r="D15" t="str">
        <f>'(1) Spending Report  '!G27</f>
        <v>Select SD# Above</v>
      </c>
    </row>
    <row r="16" spans="1:4" x14ac:dyDescent="0.3">
      <c r="A16" t="s">
        <v>42</v>
      </c>
      <c r="B16" t="s">
        <v>47</v>
      </c>
      <c r="C16" t="s">
        <v>48</v>
      </c>
      <c r="D16">
        <f>'(1) Spending Report  '!H31</f>
        <v>0</v>
      </c>
    </row>
    <row r="17" spans="1:4" x14ac:dyDescent="0.3">
      <c r="A17" t="s">
        <v>42</v>
      </c>
      <c r="B17" t="s">
        <v>47</v>
      </c>
      <c r="C17" t="s">
        <v>50</v>
      </c>
      <c r="D17">
        <f>'(1) Spending Report  '!H35</f>
        <v>0</v>
      </c>
    </row>
    <row r="18" spans="1:4" x14ac:dyDescent="0.3">
      <c r="A18" t="s">
        <v>42</v>
      </c>
      <c r="B18" t="s">
        <v>47</v>
      </c>
      <c r="C18" t="s">
        <v>51</v>
      </c>
      <c r="D18">
        <f>'(1) Spending Report  '!D36</f>
        <v>0</v>
      </c>
    </row>
    <row r="19" spans="1:4" x14ac:dyDescent="0.3">
      <c r="A19" t="s">
        <v>42</v>
      </c>
      <c r="B19" t="s">
        <v>47</v>
      </c>
      <c r="C19" t="s">
        <v>49</v>
      </c>
      <c r="D19">
        <f>'(1) Spending Report  '!H36</f>
        <v>0</v>
      </c>
    </row>
    <row r="20" spans="1:4" x14ac:dyDescent="0.3">
      <c r="A20" t="s">
        <v>42</v>
      </c>
      <c r="B20" t="s">
        <v>47</v>
      </c>
      <c r="C20" t="s">
        <v>368</v>
      </c>
      <c r="D20">
        <f>'(1) Spending Report  '!H37</f>
        <v>0</v>
      </c>
    </row>
    <row r="21" spans="1:4" x14ac:dyDescent="0.3">
      <c r="A21" t="s">
        <v>42</v>
      </c>
      <c r="B21" t="s">
        <v>52</v>
      </c>
      <c r="C21" t="s">
        <v>53</v>
      </c>
      <c r="D21">
        <f>'(1) Spending Report  '!G43</f>
        <v>0</v>
      </c>
    </row>
    <row r="22" spans="1:4" x14ac:dyDescent="0.3">
      <c r="A22" t="s">
        <v>42</v>
      </c>
      <c r="B22" t="s">
        <v>52</v>
      </c>
      <c r="C22" t="s">
        <v>54</v>
      </c>
      <c r="D22">
        <f>'(1) Spending Report  '!G44</f>
        <v>0</v>
      </c>
    </row>
    <row r="23" spans="1:4" x14ac:dyDescent="0.3">
      <c r="A23" t="s">
        <v>42</v>
      </c>
      <c r="B23" t="s">
        <v>52</v>
      </c>
      <c r="C23" t="s">
        <v>55</v>
      </c>
      <c r="D23">
        <f>'(1) Spending Report  '!G45</f>
        <v>0</v>
      </c>
    </row>
    <row r="24" spans="1:4" x14ac:dyDescent="0.3">
      <c r="A24" t="s">
        <v>42</v>
      </c>
      <c r="B24" t="s">
        <v>52</v>
      </c>
      <c r="C24" t="s">
        <v>56</v>
      </c>
      <c r="D24" t="e">
        <f>'(1) Spending Report  '!H43</f>
        <v>#VALUE!</v>
      </c>
    </row>
    <row r="25" spans="1:4" x14ac:dyDescent="0.3">
      <c r="A25" t="s">
        <v>42</v>
      </c>
      <c r="B25" t="s">
        <v>52</v>
      </c>
      <c r="C25" t="s">
        <v>57</v>
      </c>
      <c r="D25">
        <f>'(1) Spending Report  '!H44</f>
        <v>0</v>
      </c>
    </row>
    <row r="26" spans="1:4" x14ac:dyDescent="0.3">
      <c r="A26" t="s">
        <v>42</v>
      </c>
      <c r="B26" t="s">
        <v>52</v>
      </c>
      <c r="C26" t="s">
        <v>58</v>
      </c>
      <c r="D26" t="e">
        <f>'(1) Spending Report  '!H45</f>
        <v>#VALUE!</v>
      </c>
    </row>
    <row r="27" spans="1:4" x14ac:dyDescent="0.3">
      <c r="A27" t="s">
        <v>42</v>
      </c>
      <c r="B27" t="s">
        <v>59</v>
      </c>
      <c r="C27" t="s">
        <v>60</v>
      </c>
      <c r="D27">
        <f>'(1) Spending Report  '!A51</f>
        <v>0</v>
      </c>
    </row>
    <row r="28" spans="1:4" x14ac:dyDescent="0.3">
      <c r="A28" t="s">
        <v>62</v>
      </c>
      <c r="B28" t="s">
        <v>63</v>
      </c>
      <c r="C28" t="s">
        <v>67</v>
      </c>
      <c r="D28">
        <f>'(2) Extracurricular Report'!A14</f>
        <v>0</v>
      </c>
    </row>
    <row r="29" spans="1:4" x14ac:dyDescent="0.3">
      <c r="A29" t="s">
        <v>62</v>
      </c>
      <c r="B29" t="s">
        <v>63</v>
      </c>
      <c r="C29" t="s">
        <v>68</v>
      </c>
      <c r="D29">
        <f>'(2) Extracurricular Report'!A15</f>
        <v>0</v>
      </c>
    </row>
    <row r="30" spans="1:4" x14ac:dyDescent="0.3">
      <c r="A30" t="s">
        <v>62</v>
      </c>
      <c r="B30" t="s">
        <v>63</v>
      </c>
      <c r="C30" t="s">
        <v>69</v>
      </c>
      <c r="D30">
        <f>'(2) Extracurricular Report'!A16</f>
        <v>0</v>
      </c>
    </row>
    <row r="31" spans="1:4" x14ac:dyDescent="0.3">
      <c r="A31" t="s">
        <v>62</v>
      </c>
      <c r="B31" t="s">
        <v>63</v>
      </c>
      <c r="C31" t="s">
        <v>70</v>
      </c>
      <c r="D31">
        <f>'(2) Extracurricular Report'!A17</f>
        <v>0</v>
      </c>
    </row>
    <row r="32" spans="1:4" x14ac:dyDescent="0.3">
      <c r="A32" t="s">
        <v>62</v>
      </c>
      <c r="B32" t="s">
        <v>63</v>
      </c>
      <c r="C32" t="s">
        <v>71</v>
      </c>
      <c r="D32">
        <f>'(2) Extracurricular Report'!A18</f>
        <v>0</v>
      </c>
    </row>
    <row r="33" spans="1:4" x14ac:dyDescent="0.3">
      <c r="A33" t="s">
        <v>62</v>
      </c>
      <c r="B33" t="s">
        <v>63</v>
      </c>
      <c r="C33" t="s">
        <v>72</v>
      </c>
      <c r="D33">
        <f>'(2) Extracurricular Report'!A19</f>
        <v>0</v>
      </c>
    </row>
    <row r="34" spans="1:4" x14ac:dyDescent="0.3">
      <c r="A34" t="s">
        <v>62</v>
      </c>
      <c r="B34" t="s">
        <v>63</v>
      </c>
      <c r="C34" t="s">
        <v>73</v>
      </c>
      <c r="D34">
        <f>'(2) Extracurricular Report'!A20</f>
        <v>0</v>
      </c>
    </row>
    <row r="35" spans="1:4" x14ac:dyDescent="0.3">
      <c r="A35" t="s">
        <v>62</v>
      </c>
      <c r="B35" t="s">
        <v>63</v>
      </c>
      <c r="C35" t="s">
        <v>74</v>
      </c>
      <c r="D35">
        <f>'(2) Extracurricular Report'!A21</f>
        <v>0</v>
      </c>
    </row>
    <row r="36" spans="1:4" x14ac:dyDescent="0.3">
      <c r="A36" t="s">
        <v>62</v>
      </c>
      <c r="B36" t="s">
        <v>63</v>
      </c>
      <c r="C36" t="s">
        <v>75</v>
      </c>
      <c r="D36">
        <f>'(2) Extracurricular Report'!A22</f>
        <v>0</v>
      </c>
    </row>
    <row r="37" spans="1:4" x14ac:dyDescent="0.3">
      <c r="A37" t="s">
        <v>62</v>
      </c>
      <c r="B37" t="s">
        <v>63</v>
      </c>
      <c r="C37" t="s">
        <v>76</v>
      </c>
      <c r="D37">
        <f>'(2) Extracurricular Report'!A23</f>
        <v>0</v>
      </c>
    </row>
    <row r="38" spans="1:4" x14ac:dyDescent="0.3">
      <c r="A38" t="s">
        <v>62</v>
      </c>
      <c r="B38" t="s">
        <v>63</v>
      </c>
      <c r="C38" t="s">
        <v>77</v>
      </c>
      <c r="D38">
        <f>'(2) Extracurricular Report'!A24</f>
        <v>0</v>
      </c>
    </row>
    <row r="39" spans="1:4" x14ac:dyDescent="0.3">
      <c r="A39" t="s">
        <v>62</v>
      </c>
      <c r="B39" t="s">
        <v>63</v>
      </c>
      <c r="C39" t="s">
        <v>78</v>
      </c>
      <c r="D39">
        <f>'(2) Extracurricular Report'!A25</f>
        <v>0</v>
      </c>
    </row>
    <row r="40" spans="1:4" x14ac:dyDescent="0.3">
      <c r="A40" t="s">
        <v>62</v>
      </c>
      <c r="B40" t="s">
        <v>63</v>
      </c>
      <c r="C40" t="s">
        <v>79</v>
      </c>
      <c r="D40">
        <f>'(2) Extracurricular Report'!A26</f>
        <v>0</v>
      </c>
    </row>
    <row r="41" spans="1:4" x14ac:dyDescent="0.3">
      <c r="A41" t="s">
        <v>62</v>
      </c>
      <c r="B41" t="s">
        <v>63</v>
      </c>
      <c r="C41" t="s">
        <v>80</v>
      </c>
      <c r="D41">
        <f>'(2) Extracurricular Report'!A27</f>
        <v>0</v>
      </c>
    </row>
    <row r="42" spans="1:4" x14ac:dyDescent="0.3">
      <c r="A42" t="s">
        <v>62</v>
      </c>
      <c r="B42" t="s">
        <v>63</v>
      </c>
      <c r="C42" t="s">
        <v>81</v>
      </c>
      <c r="D42">
        <f>'(2) Extracurricular Report'!A28</f>
        <v>0</v>
      </c>
    </row>
    <row r="43" spans="1:4" x14ac:dyDescent="0.3">
      <c r="A43" t="s">
        <v>62</v>
      </c>
      <c r="B43" t="s">
        <v>63</v>
      </c>
      <c r="C43" t="s">
        <v>82</v>
      </c>
      <c r="D43">
        <f>'(2) Extracurricular Report'!B14</f>
        <v>0</v>
      </c>
    </row>
    <row r="44" spans="1:4" x14ac:dyDescent="0.3">
      <c r="A44" t="s">
        <v>62</v>
      </c>
      <c r="B44" t="s">
        <v>63</v>
      </c>
      <c r="C44" t="s">
        <v>83</v>
      </c>
      <c r="D44">
        <f>'(2) Extracurricular Report'!B15</f>
        <v>0</v>
      </c>
    </row>
    <row r="45" spans="1:4" x14ac:dyDescent="0.3">
      <c r="A45" t="s">
        <v>62</v>
      </c>
      <c r="B45" t="s">
        <v>63</v>
      </c>
      <c r="C45" t="s">
        <v>84</v>
      </c>
      <c r="D45">
        <f>'(2) Extracurricular Report'!B16</f>
        <v>0</v>
      </c>
    </row>
    <row r="46" spans="1:4" x14ac:dyDescent="0.3">
      <c r="A46" t="s">
        <v>62</v>
      </c>
      <c r="B46" t="s">
        <v>63</v>
      </c>
      <c r="C46" t="s">
        <v>85</v>
      </c>
      <c r="D46">
        <f>'(2) Extracurricular Report'!B17</f>
        <v>0</v>
      </c>
    </row>
    <row r="47" spans="1:4" x14ac:dyDescent="0.3">
      <c r="A47" t="s">
        <v>62</v>
      </c>
      <c r="B47" t="s">
        <v>63</v>
      </c>
      <c r="C47" t="s">
        <v>86</v>
      </c>
      <c r="D47">
        <f>'(2) Extracurricular Report'!B18</f>
        <v>0</v>
      </c>
    </row>
    <row r="48" spans="1:4" x14ac:dyDescent="0.3">
      <c r="A48" t="s">
        <v>62</v>
      </c>
      <c r="B48" t="s">
        <v>63</v>
      </c>
      <c r="C48" t="s">
        <v>87</v>
      </c>
      <c r="D48">
        <f>'(2) Extracurricular Report'!B19</f>
        <v>0</v>
      </c>
    </row>
    <row r="49" spans="1:4" x14ac:dyDescent="0.3">
      <c r="A49" t="s">
        <v>62</v>
      </c>
      <c r="B49" t="s">
        <v>63</v>
      </c>
      <c r="C49" t="s">
        <v>88</v>
      </c>
      <c r="D49">
        <f>'(2) Extracurricular Report'!B20</f>
        <v>0</v>
      </c>
    </row>
    <row r="50" spans="1:4" x14ac:dyDescent="0.3">
      <c r="A50" t="s">
        <v>62</v>
      </c>
      <c r="B50" t="s">
        <v>63</v>
      </c>
      <c r="C50" t="s">
        <v>89</v>
      </c>
      <c r="D50">
        <f>'(2) Extracurricular Report'!B21</f>
        <v>0</v>
      </c>
    </row>
    <row r="51" spans="1:4" x14ac:dyDescent="0.3">
      <c r="A51" t="s">
        <v>62</v>
      </c>
      <c r="B51" t="s">
        <v>63</v>
      </c>
      <c r="C51" t="s">
        <v>90</v>
      </c>
      <c r="D51">
        <f>'(2) Extracurricular Report'!B22</f>
        <v>0</v>
      </c>
    </row>
    <row r="52" spans="1:4" x14ac:dyDescent="0.3">
      <c r="A52" t="s">
        <v>62</v>
      </c>
      <c r="B52" t="s">
        <v>63</v>
      </c>
      <c r="C52" t="s">
        <v>91</v>
      </c>
      <c r="D52">
        <f>'(2) Extracurricular Report'!B23</f>
        <v>0</v>
      </c>
    </row>
    <row r="53" spans="1:4" x14ac:dyDescent="0.3">
      <c r="A53" t="s">
        <v>62</v>
      </c>
      <c r="B53" t="s">
        <v>63</v>
      </c>
      <c r="C53" t="s">
        <v>92</v>
      </c>
      <c r="D53">
        <f>'(2) Extracurricular Report'!B24</f>
        <v>0</v>
      </c>
    </row>
    <row r="54" spans="1:4" x14ac:dyDescent="0.3">
      <c r="A54" t="s">
        <v>62</v>
      </c>
      <c r="B54" t="s">
        <v>63</v>
      </c>
      <c r="C54" t="s">
        <v>93</v>
      </c>
      <c r="D54">
        <f>'(2) Extracurricular Report'!B25</f>
        <v>0</v>
      </c>
    </row>
    <row r="55" spans="1:4" x14ac:dyDescent="0.3">
      <c r="A55" t="s">
        <v>62</v>
      </c>
      <c r="B55" t="s">
        <v>63</v>
      </c>
      <c r="C55" t="s">
        <v>94</v>
      </c>
      <c r="D55">
        <f>'(2) Extracurricular Report'!B26</f>
        <v>0</v>
      </c>
    </row>
    <row r="56" spans="1:4" x14ac:dyDescent="0.3">
      <c r="A56" t="s">
        <v>62</v>
      </c>
      <c r="B56" t="s">
        <v>63</v>
      </c>
      <c r="C56" t="s">
        <v>95</v>
      </c>
      <c r="D56">
        <f>'(2) Extracurricular Report'!B27</f>
        <v>0</v>
      </c>
    </row>
    <row r="57" spans="1:4" x14ac:dyDescent="0.3">
      <c r="A57" t="s">
        <v>62</v>
      </c>
      <c r="B57" t="s">
        <v>63</v>
      </c>
      <c r="C57" t="s">
        <v>96</v>
      </c>
      <c r="D57">
        <f>'(2) Extracurricular Report'!B28</f>
        <v>0</v>
      </c>
    </row>
    <row r="58" spans="1:4" x14ac:dyDescent="0.3">
      <c r="A58" t="s">
        <v>62</v>
      </c>
      <c r="B58" t="s">
        <v>63</v>
      </c>
      <c r="C58" t="s">
        <v>97</v>
      </c>
      <c r="D58">
        <f>'(2) Extracurricular Report'!C14</f>
        <v>0</v>
      </c>
    </row>
    <row r="59" spans="1:4" x14ac:dyDescent="0.3">
      <c r="A59" t="s">
        <v>62</v>
      </c>
      <c r="B59" t="s">
        <v>63</v>
      </c>
      <c r="C59" t="s">
        <v>98</v>
      </c>
      <c r="D59">
        <f>'(2) Extracurricular Report'!C15</f>
        <v>0</v>
      </c>
    </row>
    <row r="60" spans="1:4" x14ac:dyDescent="0.3">
      <c r="A60" t="s">
        <v>62</v>
      </c>
      <c r="B60" t="s">
        <v>63</v>
      </c>
      <c r="C60" t="s">
        <v>99</v>
      </c>
      <c r="D60">
        <f>'(2) Extracurricular Report'!C16</f>
        <v>0</v>
      </c>
    </row>
    <row r="61" spans="1:4" x14ac:dyDescent="0.3">
      <c r="A61" t="s">
        <v>62</v>
      </c>
      <c r="B61" t="s">
        <v>63</v>
      </c>
      <c r="C61" t="s">
        <v>100</v>
      </c>
      <c r="D61">
        <f>'(2) Extracurricular Report'!C17</f>
        <v>0</v>
      </c>
    </row>
    <row r="62" spans="1:4" x14ac:dyDescent="0.3">
      <c r="A62" t="s">
        <v>62</v>
      </c>
      <c r="B62" t="s">
        <v>63</v>
      </c>
      <c r="C62" t="s">
        <v>101</v>
      </c>
      <c r="D62">
        <f>'(2) Extracurricular Report'!C18</f>
        <v>0</v>
      </c>
    </row>
    <row r="63" spans="1:4" x14ac:dyDescent="0.3">
      <c r="A63" t="s">
        <v>62</v>
      </c>
      <c r="B63" t="s">
        <v>63</v>
      </c>
      <c r="C63" t="s">
        <v>102</v>
      </c>
      <c r="D63">
        <f>'(2) Extracurricular Report'!C19</f>
        <v>0</v>
      </c>
    </row>
    <row r="64" spans="1:4" x14ac:dyDescent="0.3">
      <c r="A64" t="s">
        <v>62</v>
      </c>
      <c r="B64" t="s">
        <v>63</v>
      </c>
      <c r="C64" t="s">
        <v>103</v>
      </c>
      <c r="D64">
        <f>'(2) Extracurricular Report'!C20</f>
        <v>0</v>
      </c>
    </row>
    <row r="65" spans="1:4" x14ac:dyDescent="0.3">
      <c r="A65" t="s">
        <v>62</v>
      </c>
      <c r="B65" t="s">
        <v>63</v>
      </c>
      <c r="C65" t="s">
        <v>104</v>
      </c>
      <c r="D65">
        <f>'(2) Extracurricular Report'!C21</f>
        <v>0</v>
      </c>
    </row>
    <row r="66" spans="1:4" x14ac:dyDescent="0.3">
      <c r="A66" t="s">
        <v>62</v>
      </c>
      <c r="B66" t="s">
        <v>63</v>
      </c>
      <c r="C66" t="s">
        <v>105</v>
      </c>
      <c r="D66">
        <f>'(2) Extracurricular Report'!C22</f>
        <v>0</v>
      </c>
    </row>
    <row r="67" spans="1:4" x14ac:dyDescent="0.3">
      <c r="A67" t="s">
        <v>62</v>
      </c>
      <c r="B67" t="s">
        <v>63</v>
      </c>
      <c r="C67" t="s">
        <v>106</v>
      </c>
      <c r="D67">
        <f>'(2) Extracurricular Report'!C23</f>
        <v>0</v>
      </c>
    </row>
    <row r="68" spans="1:4" x14ac:dyDescent="0.3">
      <c r="A68" t="s">
        <v>62</v>
      </c>
      <c r="B68" t="s">
        <v>63</v>
      </c>
      <c r="C68" t="s">
        <v>107</v>
      </c>
      <c r="D68">
        <f>'(2) Extracurricular Report'!C24</f>
        <v>0</v>
      </c>
    </row>
    <row r="69" spans="1:4" x14ac:dyDescent="0.3">
      <c r="A69" t="s">
        <v>62</v>
      </c>
      <c r="B69" t="s">
        <v>63</v>
      </c>
      <c r="C69" t="s">
        <v>108</v>
      </c>
      <c r="D69">
        <f>'(2) Extracurricular Report'!C25</f>
        <v>0</v>
      </c>
    </row>
    <row r="70" spans="1:4" x14ac:dyDescent="0.3">
      <c r="A70" t="s">
        <v>62</v>
      </c>
      <c r="B70" t="s">
        <v>63</v>
      </c>
      <c r="C70" t="s">
        <v>109</v>
      </c>
      <c r="D70">
        <f>'(2) Extracurricular Report'!C26</f>
        <v>0</v>
      </c>
    </row>
    <row r="71" spans="1:4" x14ac:dyDescent="0.3">
      <c r="A71" t="s">
        <v>62</v>
      </c>
      <c r="B71" t="s">
        <v>63</v>
      </c>
      <c r="C71" t="s">
        <v>110</v>
      </c>
      <c r="D71">
        <f>'(2) Extracurricular Report'!C27</f>
        <v>0</v>
      </c>
    </row>
    <row r="72" spans="1:4" x14ac:dyDescent="0.3">
      <c r="A72" t="s">
        <v>62</v>
      </c>
      <c r="B72" t="s">
        <v>63</v>
      </c>
      <c r="C72" t="s">
        <v>111</v>
      </c>
      <c r="D72">
        <f>'(2) Extracurricular Report'!C28</f>
        <v>0</v>
      </c>
    </row>
    <row r="73" spans="1:4" x14ac:dyDescent="0.3">
      <c r="A73" t="s">
        <v>62</v>
      </c>
      <c r="B73" t="s">
        <v>64</v>
      </c>
      <c r="C73" t="s">
        <v>112</v>
      </c>
      <c r="D73">
        <f>'(2) Extracurricular Report'!D14</f>
        <v>0</v>
      </c>
    </row>
    <row r="74" spans="1:4" x14ac:dyDescent="0.3">
      <c r="A74" t="s">
        <v>62</v>
      </c>
      <c r="B74" t="s">
        <v>64</v>
      </c>
      <c r="C74" t="s">
        <v>113</v>
      </c>
      <c r="D74">
        <f>'(2) Extracurricular Report'!D15</f>
        <v>0</v>
      </c>
    </row>
    <row r="75" spans="1:4" x14ac:dyDescent="0.3">
      <c r="A75" t="s">
        <v>62</v>
      </c>
      <c r="B75" t="s">
        <v>64</v>
      </c>
      <c r="C75" t="s">
        <v>114</v>
      </c>
      <c r="D75">
        <f>'(2) Extracurricular Report'!D16</f>
        <v>0</v>
      </c>
    </row>
    <row r="76" spans="1:4" x14ac:dyDescent="0.3">
      <c r="A76" t="s">
        <v>62</v>
      </c>
      <c r="B76" t="s">
        <v>64</v>
      </c>
      <c r="C76" t="s">
        <v>115</v>
      </c>
      <c r="D76">
        <f>'(2) Extracurricular Report'!D17</f>
        <v>0</v>
      </c>
    </row>
    <row r="77" spans="1:4" x14ac:dyDescent="0.3">
      <c r="A77" t="s">
        <v>62</v>
      </c>
      <c r="B77" t="s">
        <v>64</v>
      </c>
      <c r="C77" t="s">
        <v>116</v>
      </c>
      <c r="D77">
        <f>'(2) Extracurricular Report'!D18</f>
        <v>0</v>
      </c>
    </row>
    <row r="78" spans="1:4" x14ac:dyDescent="0.3">
      <c r="A78" t="s">
        <v>62</v>
      </c>
      <c r="B78" t="s">
        <v>64</v>
      </c>
      <c r="C78" t="s">
        <v>117</v>
      </c>
      <c r="D78">
        <f>'(2) Extracurricular Report'!D19</f>
        <v>0</v>
      </c>
    </row>
    <row r="79" spans="1:4" x14ac:dyDescent="0.3">
      <c r="A79" t="s">
        <v>62</v>
      </c>
      <c r="B79" t="s">
        <v>64</v>
      </c>
      <c r="C79" t="s">
        <v>118</v>
      </c>
      <c r="D79">
        <f>'(2) Extracurricular Report'!D20</f>
        <v>0</v>
      </c>
    </row>
    <row r="80" spans="1:4" x14ac:dyDescent="0.3">
      <c r="A80" t="s">
        <v>62</v>
      </c>
      <c r="B80" t="s">
        <v>64</v>
      </c>
      <c r="C80" t="s">
        <v>119</v>
      </c>
      <c r="D80">
        <f>'(2) Extracurricular Report'!D21</f>
        <v>0</v>
      </c>
    </row>
    <row r="81" spans="1:4" x14ac:dyDescent="0.3">
      <c r="A81" t="s">
        <v>62</v>
      </c>
      <c r="B81" t="s">
        <v>64</v>
      </c>
      <c r="C81" t="s">
        <v>120</v>
      </c>
      <c r="D81">
        <f>'(2) Extracurricular Report'!D22</f>
        <v>0</v>
      </c>
    </row>
    <row r="82" spans="1:4" x14ac:dyDescent="0.3">
      <c r="A82" t="s">
        <v>62</v>
      </c>
      <c r="B82" t="s">
        <v>64</v>
      </c>
      <c r="C82" t="s">
        <v>121</v>
      </c>
      <c r="D82">
        <f>'(2) Extracurricular Report'!D23</f>
        <v>0</v>
      </c>
    </row>
    <row r="83" spans="1:4" x14ac:dyDescent="0.3">
      <c r="A83" t="s">
        <v>62</v>
      </c>
      <c r="B83" t="s">
        <v>64</v>
      </c>
      <c r="C83" t="s">
        <v>122</v>
      </c>
      <c r="D83">
        <f>'(2) Extracurricular Report'!D24</f>
        <v>0</v>
      </c>
    </row>
    <row r="84" spans="1:4" x14ac:dyDescent="0.3">
      <c r="A84" t="s">
        <v>62</v>
      </c>
      <c r="B84" t="s">
        <v>64</v>
      </c>
      <c r="C84" t="s">
        <v>123</v>
      </c>
      <c r="D84">
        <f>'(2) Extracurricular Report'!D25</f>
        <v>0</v>
      </c>
    </row>
    <row r="85" spans="1:4" x14ac:dyDescent="0.3">
      <c r="A85" t="s">
        <v>62</v>
      </c>
      <c r="B85" t="s">
        <v>64</v>
      </c>
      <c r="C85" t="s">
        <v>124</v>
      </c>
      <c r="D85">
        <f>'(2) Extracurricular Report'!D26</f>
        <v>0</v>
      </c>
    </row>
    <row r="86" spans="1:4" x14ac:dyDescent="0.3">
      <c r="A86" t="s">
        <v>62</v>
      </c>
      <c r="B86" t="s">
        <v>64</v>
      </c>
      <c r="C86" t="s">
        <v>125</v>
      </c>
      <c r="D86">
        <f>'(2) Extracurricular Report'!D27</f>
        <v>0</v>
      </c>
    </row>
    <row r="87" spans="1:4" x14ac:dyDescent="0.3">
      <c r="A87" t="s">
        <v>62</v>
      </c>
      <c r="B87" t="s">
        <v>64</v>
      </c>
      <c r="C87" t="s">
        <v>126</v>
      </c>
      <c r="D87">
        <f>'(2) Extracurricular Report'!D28</f>
        <v>0</v>
      </c>
    </row>
    <row r="88" spans="1:4" x14ac:dyDescent="0.3">
      <c r="A88" t="s">
        <v>62</v>
      </c>
      <c r="B88" t="s">
        <v>64</v>
      </c>
      <c r="C88" t="s">
        <v>127</v>
      </c>
      <c r="D88">
        <f>'(2) Extracurricular Report'!E14</f>
        <v>0</v>
      </c>
    </row>
    <row r="89" spans="1:4" x14ac:dyDescent="0.3">
      <c r="A89" t="s">
        <v>62</v>
      </c>
      <c r="B89" t="s">
        <v>64</v>
      </c>
      <c r="C89" t="s">
        <v>128</v>
      </c>
      <c r="D89">
        <f>'(2) Extracurricular Report'!E15</f>
        <v>0</v>
      </c>
    </row>
    <row r="90" spans="1:4" x14ac:dyDescent="0.3">
      <c r="A90" t="s">
        <v>62</v>
      </c>
      <c r="B90" t="s">
        <v>64</v>
      </c>
      <c r="C90" t="s">
        <v>129</v>
      </c>
      <c r="D90">
        <f>'(2) Extracurricular Report'!E16</f>
        <v>0</v>
      </c>
    </row>
    <row r="91" spans="1:4" x14ac:dyDescent="0.3">
      <c r="A91" t="s">
        <v>62</v>
      </c>
      <c r="B91" t="s">
        <v>64</v>
      </c>
      <c r="C91" t="s">
        <v>130</v>
      </c>
      <c r="D91">
        <f>'(2) Extracurricular Report'!E17</f>
        <v>0</v>
      </c>
    </row>
    <row r="92" spans="1:4" x14ac:dyDescent="0.3">
      <c r="A92" t="s">
        <v>62</v>
      </c>
      <c r="B92" t="s">
        <v>64</v>
      </c>
      <c r="C92" t="s">
        <v>131</v>
      </c>
      <c r="D92">
        <f>'(2) Extracurricular Report'!E18</f>
        <v>0</v>
      </c>
    </row>
    <row r="93" spans="1:4" x14ac:dyDescent="0.3">
      <c r="A93" t="s">
        <v>62</v>
      </c>
      <c r="B93" t="s">
        <v>64</v>
      </c>
      <c r="C93" t="s">
        <v>132</v>
      </c>
      <c r="D93">
        <f>'(2) Extracurricular Report'!E19</f>
        <v>0</v>
      </c>
    </row>
    <row r="94" spans="1:4" x14ac:dyDescent="0.3">
      <c r="A94" t="s">
        <v>62</v>
      </c>
      <c r="B94" t="s">
        <v>64</v>
      </c>
      <c r="C94" t="s">
        <v>133</v>
      </c>
      <c r="D94">
        <f>'(2) Extracurricular Report'!E20</f>
        <v>0</v>
      </c>
    </row>
    <row r="95" spans="1:4" x14ac:dyDescent="0.3">
      <c r="A95" t="s">
        <v>62</v>
      </c>
      <c r="B95" t="s">
        <v>64</v>
      </c>
      <c r="C95" t="s">
        <v>134</v>
      </c>
      <c r="D95">
        <f>'(2) Extracurricular Report'!E21</f>
        <v>0</v>
      </c>
    </row>
    <row r="96" spans="1:4" x14ac:dyDescent="0.3">
      <c r="A96" t="s">
        <v>62</v>
      </c>
      <c r="B96" t="s">
        <v>64</v>
      </c>
      <c r="C96" t="s">
        <v>135</v>
      </c>
      <c r="D96">
        <f>'(2) Extracurricular Report'!E22</f>
        <v>0</v>
      </c>
    </row>
    <row r="97" spans="1:4" x14ac:dyDescent="0.3">
      <c r="A97" t="s">
        <v>62</v>
      </c>
      <c r="B97" t="s">
        <v>64</v>
      </c>
      <c r="C97" t="s">
        <v>136</v>
      </c>
      <c r="D97">
        <f>'(2) Extracurricular Report'!E23</f>
        <v>0</v>
      </c>
    </row>
    <row r="98" spans="1:4" x14ac:dyDescent="0.3">
      <c r="A98" t="s">
        <v>62</v>
      </c>
      <c r="B98" t="s">
        <v>64</v>
      </c>
      <c r="C98" t="s">
        <v>137</v>
      </c>
      <c r="D98">
        <f>'(2) Extracurricular Report'!E24</f>
        <v>0</v>
      </c>
    </row>
    <row r="99" spans="1:4" x14ac:dyDescent="0.3">
      <c r="A99" t="s">
        <v>62</v>
      </c>
      <c r="B99" t="s">
        <v>64</v>
      </c>
      <c r="C99" t="s">
        <v>138</v>
      </c>
      <c r="D99">
        <f>'(2) Extracurricular Report'!E25</f>
        <v>0</v>
      </c>
    </row>
    <row r="100" spans="1:4" x14ac:dyDescent="0.3">
      <c r="A100" t="s">
        <v>62</v>
      </c>
      <c r="B100" t="s">
        <v>64</v>
      </c>
      <c r="C100" t="s">
        <v>139</v>
      </c>
      <c r="D100">
        <f>'(2) Extracurricular Report'!E26</f>
        <v>0</v>
      </c>
    </row>
    <row r="101" spans="1:4" x14ac:dyDescent="0.3">
      <c r="A101" t="s">
        <v>62</v>
      </c>
      <c r="B101" t="s">
        <v>64</v>
      </c>
      <c r="C101" t="s">
        <v>140</v>
      </c>
      <c r="D101">
        <f>'(2) Extracurricular Report'!E27</f>
        <v>0</v>
      </c>
    </row>
    <row r="102" spans="1:4" x14ac:dyDescent="0.3">
      <c r="A102" t="s">
        <v>62</v>
      </c>
      <c r="B102" t="s">
        <v>64</v>
      </c>
      <c r="C102" t="s">
        <v>141</v>
      </c>
      <c r="D102">
        <f>'(2) Extracurricular Report'!E28</f>
        <v>0</v>
      </c>
    </row>
    <row r="103" spans="1:4" x14ac:dyDescent="0.3">
      <c r="A103" t="s">
        <v>62</v>
      </c>
      <c r="B103" t="s">
        <v>64</v>
      </c>
      <c r="C103" t="s">
        <v>142</v>
      </c>
      <c r="D103">
        <f>'(2) Extracurricular Report'!F14</f>
        <v>0</v>
      </c>
    </row>
    <row r="104" spans="1:4" x14ac:dyDescent="0.3">
      <c r="A104" t="s">
        <v>62</v>
      </c>
      <c r="B104" t="s">
        <v>64</v>
      </c>
      <c r="C104" t="s">
        <v>143</v>
      </c>
      <c r="D104">
        <f>'(2) Extracurricular Report'!F15</f>
        <v>0</v>
      </c>
    </row>
    <row r="105" spans="1:4" x14ac:dyDescent="0.3">
      <c r="A105" t="s">
        <v>62</v>
      </c>
      <c r="B105" t="s">
        <v>64</v>
      </c>
      <c r="C105" t="s">
        <v>144</v>
      </c>
      <c r="D105">
        <f>'(2) Extracurricular Report'!F16</f>
        <v>0</v>
      </c>
    </row>
    <row r="106" spans="1:4" x14ac:dyDescent="0.3">
      <c r="A106" t="s">
        <v>62</v>
      </c>
      <c r="B106" t="s">
        <v>64</v>
      </c>
      <c r="C106" t="s">
        <v>145</v>
      </c>
      <c r="D106">
        <f>'(2) Extracurricular Report'!F17</f>
        <v>0</v>
      </c>
    </row>
    <row r="107" spans="1:4" x14ac:dyDescent="0.3">
      <c r="A107" t="s">
        <v>62</v>
      </c>
      <c r="B107" t="s">
        <v>64</v>
      </c>
      <c r="C107" t="s">
        <v>146</v>
      </c>
      <c r="D107">
        <f>'(2) Extracurricular Report'!F18</f>
        <v>0</v>
      </c>
    </row>
    <row r="108" spans="1:4" x14ac:dyDescent="0.3">
      <c r="A108" t="s">
        <v>62</v>
      </c>
      <c r="B108" t="s">
        <v>64</v>
      </c>
      <c r="C108" t="s">
        <v>147</v>
      </c>
      <c r="D108">
        <f>'(2) Extracurricular Report'!F19</f>
        <v>0</v>
      </c>
    </row>
    <row r="109" spans="1:4" x14ac:dyDescent="0.3">
      <c r="A109" t="s">
        <v>62</v>
      </c>
      <c r="B109" t="s">
        <v>64</v>
      </c>
      <c r="C109" t="s">
        <v>148</v>
      </c>
      <c r="D109">
        <f>'(2) Extracurricular Report'!F20</f>
        <v>0</v>
      </c>
    </row>
    <row r="110" spans="1:4" x14ac:dyDescent="0.3">
      <c r="A110" t="s">
        <v>62</v>
      </c>
      <c r="B110" t="s">
        <v>64</v>
      </c>
      <c r="C110" t="s">
        <v>149</v>
      </c>
      <c r="D110">
        <f>'(2) Extracurricular Report'!F21</f>
        <v>0</v>
      </c>
    </row>
    <row r="111" spans="1:4" x14ac:dyDescent="0.3">
      <c r="A111" t="s">
        <v>62</v>
      </c>
      <c r="B111" t="s">
        <v>64</v>
      </c>
      <c r="C111" t="s">
        <v>150</v>
      </c>
      <c r="D111">
        <f>'(2) Extracurricular Report'!F22</f>
        <v>0</v>
      </c>
    </row>
    <row r="112" spans="1:4" x14ac:dyDescent="0.3">
      <c r="A112" t="s">
        <v>62</v>
      </c>
      <c r="B112" t="s">
        <v>64</v>
      </c>
      <c r="C112" t="s">
        <v>151</v>
      </c>
      <c r="D112">
        <f>'(2) Extracurricular Report'!F23</f>
        <v>0</v>
      </c>
    </row>
    <row r="113" spans="1:4" x14ac:dyDescent="0.3">
      <c r="A113" t="s">
        <v>62</v>
      </c>
      <c r="B113" t="s">
        <v>64</v>
      </c>
      <c r="C113" t="s">
        <v>152</v>
      </c>
      <c r="D113">
        <f>'(2) Extracurricular Report'!F24</f>
        <v>0</v>
      </c>
    </row>
    <row r="114" spans="1:4" x14ac:dyDescent="0.3">
      <c r="A114" t="s">
        <v>62</v>
      </c>
      <c r="B114" t="s">
        <v>64</v>
      </c>
      <c r="C114" t="s">
        <v>153</v>
      </c>
      <c r="D114">
        <f>'(2) Extracurricular Report'!F25</f>
        <v>0</v>
      </c>
    </row>
    <row r="115" spans="1:4" x14ac:dyDescent="0.3">
      <c r="A115" t="s">
        <v>62</v>
      </c>
      <c r="B115" t="s">
        <v>64</v>
      </c>
      <c r="C115" t="s">
        <v>154</v>
      </c>
      <c r="D115">
        <f>'(2) Extracurricular Report'!F26</f>
        <v>0</v>
      </c>
    </row>
    <row r="116" spans="1:4" x14ac:dyDescent="0.3">
      <c r="A116" t="s">
        <v>62</v>
      </c>
      <c r="B116" t="s">
        <v>64</v>
      </c>
      <c r="C116" t="s">
        <v>155</v>
      </c>
      <c r="D116">
        <f>'(2) Extracurricular Report'!F27</f>
        <v>0</v>
      </c>
    </row>
    <row r="117" spans="1:4" x14ac:dyDescent="0.3">
      <c r="A117" t="s">
        <v>62</v>
      </c>
      <c r="B117" t="s">
        <v>64</v>
      </c>
      <c r="C117" t="s">
        <v>156</v>
      </c>
      <c r="D117">
        <f>'(2) Extracurricular Report'!F28</f>
        <v>0</v>
      </c>
    </row>
    <row r="118" spans="1:4" x14ac:dyDescent="0.3">
      <c r="A118" t="s">
        <v>62</v>
      </c>
      <c r="B118" t="s">
        <v>65</v>
      </c>
      <c r="C118" t="s">
        <v>157</v>
      </c>
      <c r="D118" s="155">
        <f>'(2) Extracurricular Report'!G14</f>
        <v>0</v>
      </c>
    </row>
    <row r="119" spans="1:4" x14ac:dyDescent="0.3">
      <c r="A119" t="s">
        <v>62</v>
      </c>
      <c r="B119" t="s">
        <v>65</v>
      </c>
      <c r="C119" t="s">
        <v>158</v>
      </c>
      <c r="D119" s="155">
        <f>'(2) Extracurricular Report'!G15</f>
        <v>0</v>
      </c>
    </row>
    <row r="120" spans="1:4" x14ac:dyDescent="0.3">
      <c r="A120" t="s">
        <v>62</v>
      </c>
      <c r="B120" t="s">
        <v>65</v>
      </c>
      <c r="C120" t="s">
        <v>159</v>
      </c>
      <c r="D120" s="155">
        <f>'(2) Extracurricular Report'!G16</f>
        <v>0</v>
      </c>
    </row>
    <row r="121" spans="1:4" x14ac:dyDescent="0.3">
      <c r="A121" t="s">
        <v>62</v>
      </c>
      <c r="B121" t="s">
        <v>65</v>
      </c>
      <c r="C121" t="s">
        <v>160</v>
      </c>
      <c r="D121" s="155">
        <f>'(2) Extracurricular Report'!G17</f>
        <v>0</v>
      </c>
    </row>
    <row r="122" spans="1:4" x14ac:dyDescent="0.3">
      <c r="A122" t="s">
        <v>62</v>
      </c>
      <c r="B122" t="s">
        <v>65</v>
      </c>
      <c r="C122" t="s">
        <v>161</v>
      </c>
      <c r="D122" s="155">
        <f>'(2) Extracurricular Report'!G18</f>
        <v>0</v>
      </c>
    </row>
    <row r="123" spans="1:4" x14ac:dyDescent="0.3">
      <c r="A123" t="s">
        <v>62</v>
      </c>
      <c r="B123" t="s">
        <v>65</v>
      </c>
      <c r="C123" t="s">
        <v>162</v>
      </c>
      <c r="D123" s="155">
        <f>'(2) Extracurricular Report'!G19</f>
        <v>0</v>
      </c>
    </row>
    <row r="124" spans="1:4" x14ac:dyDescent="0.3">
      <c r="A124" t="s">
        <v>62</v>
      </c>
      <c r="B124" t="s">
        <v>65</v>
      </c>
      <c r="C124" t="s">
        <v>163</v>
      </c>
      <c r="D124" s="155">
        <f>'(2) Extracurricular Report'!G20</f>
        <v>0</v>
      </c>
    </row>
    <row r="125" spans="1:4" x14ac:dyDescent="0.3">
      <c r="A125" t="s">
        <v>62</v>
      </c>
      <c r="B125" t="s">
        <v>65</v>
      </c>
      <c r="C125" t="s">
        <v>164</v>
      </c>
      <c r="D125" s="155">
        <f>'(2) Extracurricular Report'!G21</f>
        <v>0</v>
      </c>
    </row>
    <row r="126" spans="1:4" x14ac:dyDescent="0.3">
      <c r="A126" t="s">
        <v>62</v>
      </c>
      <c r="B126" t="s">
        <v>65</v>
      </c>
      <c r="C126" t="s">
        <v>165</v>
      </c>
      <c r="D126" s="155">
        <f>'(2) Extracurricular Report'!G22</f>
        <v>0</v>
      </c>
    </row>
    <row r="127" spans="1:4" x14ac:dyDescent="0.3">
      <c r="A127" t="s">
        <v>62</v>
      </c>
      <c r="B127" t="s">
        <v>65</v>
      </c>
      <c r="C127" t="s">
        <v>166</v>
      </c>
      <c r="D127" s="155">
        <f>'(2) Extracurricular Report'!G23</f>
        <v>0</v>
      </c>
    </row>
    <row r="128" spans="1:4" x14ac:dyDescent="0.3">
      <c r="A128" t="s">
        <v>62</v>
      </c>
      <c r="B128" t="s">
        <v>65</v>
      </c>
      <c r="C128" t="s">
        <v>167</v>
      </c>
      <c r="D128" s="155">
        <f>'(2) Extracurricular Report'!G24</f>
        <v>0</v>
      </c>
    </row>
    <row r="129" spans="1:4" x14ac:dyDescent="0.3">
      <c r="A129" t="s">
        <v>62</v>
      </c>
      <c r="B129" t="s">
        <v>65</v>
      </c>
      <c r="C129" t="s">
        <v>168</v>
      </c>
      <c r="D129" s="155">
        <f>'(2) Extracurricular Report'!G25</f>
        <v>0</v>
      </c>
    </row>
    <row r="130" spans="1:4" x14ac:dyDescent="0.3">
      <c r="A130" t="s">
        <v>62</v>
      </c>
      <c r="B130" t="s">
        <v>65</v>
      </c>
      <c r="C130" t="s">
        <v>169</v>
      </c>
      <c r="D130" s="155">
        <f>'(2) Extracurricular Report'!G26</f>
        <v>0</v>
      </c>
    </row>
    <row r="131" spans="1:4" x14ac:dyDescent="0.3">
      <c r="A131" t="s">
        <v>62</v>
      </c>
      <c r="B131" t="s">
        <v>65</v>
      </c>
      <c r="C131" t="s">
        <v>170</v>
      </c>
      <c r="D131" s="155">
        <f>'(2) Extracurricular Report'!G27</f>
        <v>0</v>
      </c>
    </row>
    <row r="132" spans="1:4" x14ac:dyDescent="0.3">
      <c r="A132" t="s">
        <v>62</v>
      </c>
      <c r="B132" t="s">
        <v>65</v>
      </c>
      <c r="C132" t="s">
        <v>171</v>
      </c>
      <c r="D132" s="155">
        <f>'(2) Extracurricular Report'!G28</f>
        <v>0</v>
      </c>
    </row>
    <row r="133" spans="1:4" x14ac:dyDescent="0.3">
      <c r="A133" t="s">
        <v>62</v>
      </c>
      <c r="B133" t="s">
        <v>65</v>
      </c>
      <c r="C133" t="s">
        <v>172</v>
      </c>
      <c r="D133">
        <f>'(2) Extracurricular Report'!H14</f>
        <v>0</v>
      </c>
    </row>
    <row r="134" spans="1:4" x14ac:dyDescent="0.3">
      <c r="A134" t="s">
        <v>62</v>
      </c>
      <c r="B134" t="s">
        <v>65</v>
      </c>
      <c r="C134" t="s">
        <v>173</v>
      </c>
      <c r="D134">
        <f>'(2) Extracurricular Report'!H15</f>
        <v>0</v>
      </c>
    </row>
    <row r="135" spans="1:4" x14ac:dyDescent="0.3">
      <c r="A135" t="s">
        <v>62</v>
      </c>
      <c r="B135" t="s">
        <v>65</v>
      </c>
      <c r="C135" t="s">
        <v>174</v>
      </c>
      <c r="D135">
        <f>'(2) Extracurricular Report'!H16</f>
        <v>0</v>
      </c>
    </row>
    <row r="136" spans="1:4" x14ac:dyDescent="0.3">
      <c r="A136" t="s">
        <v>62</v>
      </c>
      <c r="B136" t="s">
        <v>65</v>
      </c>
      <c r="C136" t="s">
        <v>175</v>
      </c>
      <c r="D136">
        <f>'(2) Extracurricular Report'!H17</f>
        <v>0</v>
      </c>
    </row>
    <row r="137" spans="1:4" x14ac:dyDescent="0.3">
      <c r="A137" t="s">
        <v>62</v>
      </c>
      <c r="B137" t="s">
        <v>65</v>
      </c>
      <c r="C137" t="s">
        <v>176</v>
      </c>
      <c r="D137">
        <f>'(2) Extracurricular Report'!H18</f>
        <v>0</v>
      </c>
    </row>
    <row r="138" spans="1:4" x14ac:dyDescent="0.3">
      <c r="A138" t="s">
        <v>62</v>
      </c>
      <c r="B138" t="s">
        <v>65</v>
      </c>
      <c r="C138" t="s">
        <v>177</v>
      </c>
      <c r="D138">
        <f>'(2) Extracurricular Report'!H19</f>
        <v>0</v>
      </c>
    </row>
    <row r="139" spans="1:4" x14ac:dyDescent="0.3">
      <c r="A139" t="s">
        <v>62</v>
      </c>
      <c r="B139" t="s">
        <v>65</v>
      </c>
      <c r="C139" t="s">
        <v>178</v>
      </c>
      <c r="D139">
        <f>'(2) Extracurricular Report'!H20</f>
        <v>0</v>
      </c>
    </row>
    <row r="140" spans="1:4" x14ac:dyDescent="0.3">
      <c r="A140" t="s">
        <v>62</v>
      </c>
      <c r="B140" t="s">
        <v>65</v>
      </c>
      <c r="C140" t="s">
        <v>179</v>
      </c>
      <c r="D140">
        <f>'(2) Extracurricular Report'!H21</f>
        <v>0</v>
      </c>
    </row>
    <row r="141" spans="1:4" x14ac:dyDescent="0.3">
      <c r="A141" t="s">
        <v>62</v>
      </c>
      <c r="B141" t="s">
        <v>65</v>
      </c>
      <c r="C141" t="s">
        <v>180</v>
      </c>
      <c r="D141">
        <f>'(2) Extracurricular Report'!H22</f>
        <v>0</v>
      </c>
    </row>
    <row r="142" spans="1:4" x14ac:dyDescent="0.3">
      <c r="A142" t="s">
        <v>62</v>
      </c>
      <c r="B142" t="s">
        <v>65</v>
      </c>
      <c r="C142" t="s">
        <v>181</v>
      </c>
      <c r="D142">
        <f>'(2) Extracurricular Report'!H23</f>
        <v>0</v>
      </c>
    </row>
    <row r="143" spans="1:4" x14ac:dyDescent="0.3">
      <c r="A143" t="s">
        <v>62</v>
      </c>
      <c r="B143" t="s">
        <v>65</v>
      </c>
      <c r="C143" t="s">
        <v>182</v>
      </c>
      <c r="D143">
        <f>'(2) Extracurricular Report'!H24</f>
        <v>0</v>
      </c>
    </row>
    <row r="144" spans="1:4" x14ac:dyDescent="0.3">
      <c r="A144" t="s">
        <v>62</v>
      </c>
      <c r="B144" t="s">
        <v>65</v>
      </c>
      <c r="C144" t="s">
        <v>183</v>
      </c>
      <c r="D144">
        <f>'(2) Extracurricular Report'!H25</f>
        <v>0</v>
      </c>
    </row>
    <row r="145" spans="1:4" x14ac:dyDescent="0.3">
      <c r="A145" t="s">
        <v>62</v>
      </c>
      <c r="B145" t="s">
        <v>65</v>
      </c>
      <c r="C145" t="s">
        <v>184</v>
      </c>
      <c r="D145">
        <f>'(2) Extracurricular Report'!H26</f>
        <v>0</v>
      </c>
    </row>
    <row r="146" spans="1:4" x14ac:dyDescent="0.3">
      <c r="A146" t="s">
        <v>62</v>
      </c>
      <c r="B146" t="s">
        <v>65</v>
      </c>
      <c r="C146" t="s">
        <v>185</v>
      </c>
      <c r="D146">
        <f>'(2) Extracurricular Report'!H27</f>
        <v>0</v>
      </c>
    </row>
    <row r="147" spans="1:4" x14ac:dyDescent="0.3">
      <c r="A147" t="s">
        <v>62</v>
      </c>
      <c r="B147" t="s">
        <v>65</v>
      </c>
      <c r="C147" t="s">
        <v>186</v>
      </c>
      <c r="D147">
        <f>'(2) Extracurricular Report'!H28</f>
        <v>0</v>
      </c>
    </row>
    <row r="148" spans="1:4" x14ac:dyDescent="0.3">
      <c r="A148" t="s">
        <v>62</v>
      </c>
      <c r="B148" t="s">
        <v>66</v>
      </c>
      <c r="C148" t="s">
        <v>187</v>
      </c>
      <c r="D148">
        <f>'(2) Extracurricular Report'!I14</f>
        <v>0</v>
      </c>
    </row>
    <row r="149" spans="1:4" x14ac:dyDescent="0.3">
      <c r="A149" t="s">
        <v>62</v>
      </c>
      <c r="B149" t="s">
        <v>66</v>
      </c>
      <c r="C149" t="s">
        <v>188</v>
      </c>
      <c r="D149">
        <f>'(2) Extracurricular Report'!I15</f>
        <v>0</v>
      </c>
    </row>
    <row r="150" spans="1:4" x14ac:dyDescent="0.3">
      <c r="A150" t="s">
        <v>62</v>
      </c>
      <c r="B150" t="s">
        <v>66</v>
      </c>
      <c r="C150" t="s">
        <v>189</v>
      </c>
      <c r="D150">
        <f>'(2) Extracurricular Report'!I16</f>
        <v>0</v>
      </c>
    </row>
    <row r="151" spans="1:4" x14ac:dyDescent="0.3">
      <c r="A151" t="s">
        <v>62</v>
      </c>
      <c r="B151" t="s">
        <v>66</v>
      </c>
      <c r="C151" t="s">
        <v>190</v>
      </c>
      <c r="D151">
        <f>'(2) Extracurricular Report'!I17</f>
        <v>0</v>
      </c>
    </row>
    <row r="152" spans="1:4" x14ac:dyDescent="0.3">
      <c r="A152" t="s">
        <v>62</v>
      </c>
      <c r="B152" t="s">
        <v>66</v>
      </c>
      <c r="C152" t="s">
        <v>191</v>
      </c>
      <c r="D152">
        <f>'(2) Extracurricular Report'!I18</f>
        <v>0</v>
      </c>
    </row>
    <row r="153" spans="1:4" x14ac:dyDescent="0.3">
      <c r="A153" t="s">
        <v>62</v>
      </c>
      <c r="B153" t="s">
        <v>66</v>
      </c>
      <c r="C153" t="s">
        <v>192</v>
      </c>
      <c r="D153">
        <f>'(2) Extracurricular Report'!I19</f>
        <v>0</v>
      </c>
    </row>
    <row r="154" spans="1:4" x14ac:dyDescent="0.3">
      <c r="A154" t="s">
        <v>62</v>
      </c>
      <c r="B154" t="s">
        <v>66</v>
      </c>
      <c r="C154" t="s">
        <v>193</v>
      </c>
      <c r="D154">
        <f>'(2) Extracurricular Report'!I20</f>
        <v>0</v>
      </c>
    </row>
    <row r="155" spans="1:4" x14ac:dyDescent="0.3">
      <c r="A155" t="s">
        <v>62</v>
      </c>
      <c r="B155" t="s">
        <v>66</v>
      </c>
      <c r="C155" t="s">
        <v>194</v>
      </c>
      <c r="D155">
        <f>'(2) Extracurricular Report'!I21</f>
        <v>0</v>
      </c>
    </row>
    <row r="156" spans="1:4" x14ac:dyDescent="0.3">
      <c r="A156" t="s">
        <v>62</v>
      </c>
      <c r="B156" t="s">
        <v>66</v>
      </c>
      <c r="C156" t="s">
        <v>195</v>
      </c>
      <c r="D156">
        <f>'(2) Extracurricular Report'!I22</f>
        <v>0</v>
      </c>
    </row>
    <row r="157" spans="1:4" x14ac:dyDescent="0.3">
      <c r="A157" t="s">
        <v>62</v>
      </c>
      <c r="B157" t="s">
        <v>66</v>
      </c>
      <c r="C157" t="s">
        <v>196</v>
      </c>
      <c r="D157">
        <f>'(2) Extracurricular Report'!I23</f>
        <v>0</v>
      </c>
    </row>
    <row r="158" spans="1:4" x14ac:dyDescent="0.3">
      <c r="A158" t="s">
        <v>62</v>
      </c>
      <c r="B158" t="s">
        <v>66</v>
      </c>
      <c r="C158" t="s">
        <v>197</v>
      </c>
      <c r="D158">
        <f>'(2) Extracurricular Report'!I24</f>
        <v>0</v>
      </c>
    </row>
    <row r="159" spans="1:4" x14ac:dyDescent="0.3">
      <c r="A159" t="s">
        <v>62</v>
      </c>
      <c r="B159" t="s">
        <v>66</v>
      </c>
      <c r="C159" t="s">
        <v>198</v>
      </c>
      <c r="D159">
        <f>'(2) Extracurricular Report'!I25</f>
        <v>0</v>
      </c>
    </row>
    <row r="160" spans="1:4" x14ac:dyDescent="0.3">
      <c r="A160" t="s">
        <v>62</v>
      </c>
      <c r="B160" t="s">
        <v>66</v>
      </c>
      <c r="C160" t="s">
        <v>199</v>
      </c>
      <c r="D160">
        <f>'(2) Extracurricular Report'!I26</f>
        <v>0</v>
      </c>
    </row>
    <row r="161" spans="1:4" x14ac:dyDescent="0.3">
      <c r="A161" t="s">
        <v>62</v>
      </c>
      <c r="B161" t="s">
        <v>66</v>
      </c>
      <c r="C161" t="s">
        <v>200</v>
      </c>
      <c r="D161">
        <f>'(2) Extracurricular Report'!I27</f>
        <v>0</v>
      </c>
    </row>
    <row r="162" spans="1:4" x14ac:dyDescent="0.3">
      <c r="A162" t="s">
        <v>62</v>
      </c>
      <c r="B162" t="s">
        <v>66</v>
      </c>
      <c r="C162" t="s">
        <v>201</v>
      </c>
      <c r="D162">
        <f>'(2) Extracurricular Report'!I28</f>
        <v>0</v>
      </c>
    </row>
    <row r="163" spans="1:4" x14ac:dyDescent="0.3">
      <c r="A163" t="s">
        <v>62</v>
      </c>
      <c r="B163" t="s">
        <v>66</v>
      </c>
      <c r="C163" t="s">
        <v>202</v>
      </c>
      <c r="D163">
        <f>'(2) Extracurricular Report'!J14</f>
        <v>0</v>
      </c>
    </row>
    <row r="164" spans="1:4" x14ac:dyDescent="0.3">
      <c r="A164" t="s">
        <v>62</v>
      </c>
      <c r="B164" t="s">
        <v>66</v>
      </c>
      <c r="C164" t="s">
        <v>203</v>
      </c>
      <c r="D164">
        <f>'(2) Extracurricular Report'!J15</f>
        <v>0</v>
      </c>
    </row>
    <row r="165" spans="1:4" x14ac:dyDescent="0.3">
      <c r="A165" t="s">
        <v>62</v>
      </c>
      <c r="B165" t="s">
        <v>66</v>
      </c>
      <c r="C165" t="s">
        <v>204</v>
      </c>
      <c r="D165">
        <f>'(2) Extracurricular Report'!J16</f>
        <v>0</v>
      </c>
    </row>
    <row r="166" spans="1:4" x14ac:dyDescent="0.3">
      <c r="A166" t="s">
        <v>62</v>
      </c>
      <c r="B166" t="s">
        <v>66</v>
      </c>
      <c r="C166" t="s">
        <v>205</v>
      </c>
      <c r="D166">
        <f>'(2) Extracurricular Report'!J17</f>
        <v>0</v>
      </c>
    </row>
    <row r="167" spans="1:4" x14ac:dyDescent="0.3">
      <c r="A167" t="s">
        <v>62</v>
      </c>
      <c r="B167" t="s">
        <v>66</v>
      </c>
      <c r="C167" t="s">
        <v>206</v>
      </c>
      <c r="D167">
        <f>'(2) Extracurricular Report'!J18</f>
        <v>0</v>
      </c>
    </row>
    <row r="168" spans="1:4" x14ac:dyDescent="0.3">
      <c r="A168" t="s">
        <v>62</v>
      </c>
      <c r="B168" t="s">
        <v>66</v>
      </c>
      <c r="C168" t="s">
        <v>207</v>
      </c>
      <c r="D168">
        <f>'(2) Extracurricular Report'!J19</f>
        <v>0</v>
      </c>
    </row>
    <row r="169" spans="1:4" x14ac:dyDescent="0.3">
      <c r="A169" t="s">
        <v>62</v>
      </c>
      <c r="B169" t="s">
        <v>66</v>
      </c>
      <c r="C169" t="s">
        <v>208</v>
      </c>
      <c r="D169">
        <f>'(2) Extracurricular Report'!J20</f>
        <v>0</v>
      </c>
    </row>
    <row r="170" spans="1:4" x14ac:dyDescent="0.3">
      <c r="A170" t="s">
        <v>62</v>
      </c>
      <c r="B170" t="s">
        <v>66</v>
      </c>
      <c r="C170" t="s">
        <v>209</v>
      </c>
      <c r="D170">
        <f>'(2) Extracurricular Report'!J21</f>
        <v>0</v>
      </c>
    </row>
    <row r="171" spans="1:4" x14ac:dyDescent="0.3">
      <c r="A171" t="s">
        <v>62</v>
      </c>
      <c r="B171" t="s">
        <v>66</v>
      </c>
      <c r="C171" t="s">
        <v>210</v>
      </c>
      <c r="D171">
        <f>'(2) Extracurricular Report'!J22</f>
        <v>0</v>
      </c>
    </row>
    <row r="172" spans="1:4" x14ac:dyDescent="0.3">
      <c r="A172" t="s">
        <v>62</v>
      </c>
      <c r="B172" t="s">
        <v>66</v>
      </c>
      <c r="C172" t="s">
        <v>211</v>
      </c>
      <c r="D172">
        <f>'(2) Extracurricular Report'!J23</f>
        <v>0</v>
      </c>
    </row>
    <row r="173" spans="1:4" x14ac:dyDescent="0.3">
      <c r="A173" t="s">
        <v>62</v>
      </c>
      <c r="B173" t="s">
        <v>66</v>
      </c>
      <c r="C173" t="s">
        <v>212</v>
      </c>
      <c r="D173">
        <f>'(2) Extracurricular Report'!J24</f>
        <v>0</v>
      </c>
    </row>
    <row r="174" spans="1:4" x14ac:dyDescent="0.3">
      <c r="A174" t="s">
        <v>62</v>
      </c>
      <c r="B174" t="s">
        <v>66</v>
      </c>
      <c r="C174" t="s">
        <v>213</v>
      </c>
      <c r="D174">
        <f>'(2) Extracurricular Report'!J25</f>
        <v>0</v>
      </c>
    </row>
    <row r="175" spans="1:4" x14ac:dyDescent="0.3">
      <c r="A175" t="s">
        <v>62</v>
      </c>
      <c r="B175" t="s">
        <v>66</v>
      </c>
      <c r="C175" t="s">
        <v>214</v>
      </c>
      <c r="D175">
        <f>'(2) Extracurricular Report'!J26</f>
        <v>0</v>
      </c>
    </row>
    <row r="176" spans="1:4" x14ac:dyDescent="0.3">
      <c r="A176" t="s">
        <v>62</v>
      </c>
      <c r="B176" t="s">
        <v>66</v>
      </c>
      <c r="C176" t="s">
        <v>215</v>
      </c>
      <c r="D176">
        <f>'(2) Extracurricular Report'!J27</f>
        <v>0</v>
      </c>
    </row>
    <row r="177" spans="1:4" x14ac:dyDescent="0.3">
      <c r="A177" t="s">
        <v>62</v>
      </c>
      <c r="B177" t="s">
        <v>66</v>
      </c>
      <c r="C177" t="s">
        <v>216</v>
      </c>
      <c r="D177">
        <f>'(2) Extracurricular Report'!J28</f>
        <v>0</v>
      </c>
    </row>
    <row r="178" spans="1:4" x14ac:dyDescent="0.3">
      <c r="A178" t="s">
        <v>62</v>
      </c>
      <c r="B178" t="s">
        <v>66</v>
      </c>
      <c r="C178" t="s">
        <v>217</v>
      </c>
      <c r="D178" s="155">
        <f>'(2) Extracurricular Report'!K14</f>
        <v>0</v>
      </c>
    </row>
    <row r="179" spans="1:4" x14ac:dyDescent="0.3">
      <c r="A179" t="s">
        <v>62</v>
      </c>
      <c r="B179" t="s">
        <v>66</v>
      </c>
      <c r="C179" t="s">
        <v>218</v>
      </c>
      <c r="D179" s="155">
        <f>'(2) Extracurricular Report'!K15</f>
        <v>0</v>
      </c>
    </row>
    <row r="180" spans="1:4" x14ac:dyDescent="0.3">
      <c r="A180" t="s">
        <v>62</v>
      </c>
      <c r="B180" t="s">
        <v>66</v>
      </c>
      <c r="C180" t="s">
        <v>219</v>
      </c>
      <c r="D180" s="155">
        <f>'(2) Extracurricular Report'!K16</f>
        <v>0</v>
      </c>
    </row>
    <row r="181" spans="1:4" x14ac:dyDescent="0.3">
      <c r="A181" t="s">
        <v>62</v>
      </c>
      <c r="B181" t="s">
        <v>66</v>
      </c>
      <c r="C181" t="s">
        <v>220</v>
      </c>
      <c r="D181" s="155">
        <f>'(2) Extracurricular Report'!K17</f>
        <v>0</v>
      </c>
    </row>
    <row r="182" spans="1:4" x14ac:dyDescent="0.3">
      <c r="A182" t="s">
        <v>62</v>
      </c>
      <c r="B182" t="s">
        <v>66</v>
      </c>
      <c r="C182" t="s">
        <v>221</v>
      </c>
      <c r="D182" s="155">
        <f>'(2) Extracurricular Report'!K18</f>
        <v>0</v>
      </c>
    </row>
    <row r="183" spans="1:4" x14ac:dyDescent="0.3">
      <c r="A183" t="s">
        <v>62</v>
      </c>
      <c r="B183" t="s">
        <v>66</v>
      </c>
      <c r="C183" t="s">
        <v>222</v>
      </c>
      <c r="D183" s="155">
        <f>'(2) Extracurricular Report'!K19</f>
        <v>0</v>
      </c>
    </row>
    <row r="184" spans="1:4" x14ac:dyDescent="0.3">
      <c r="A184" t="s">
        <v>62</v>
      </c>
      <c r="B184" t="s">
        <v>66</v>
      </c>
      <c r="C184" t="s">
        <v>223</v>
      </c>
      <c r="D184" s="155">
        <f>'(2) Extracurricular Report'!K20</f>
        <v>0</v>
      </c>
    </row>
    <row r="185" spans="1:4" x14ac:dyDescent="0.3">
      <c r="A185" t="s">
        <v>62</v>
      </c>
      <c r="B185" t="s">
        <v>66</v>
      </c>
      <c r="C185" t="s">
        <v>224</v>
      </c>
      <c r="D185" s="155">
        <f>'(2) Extracurricular Report'!K21</f>
        <v>0</v>
      </c>
    </row>
    <row r="186" spans="1:4" x14ac:dyDescent="0.3">
      <c r="A186" t="s">
        <v>62</v>
      </c>
      <c r="B186" t="s">
        <v>66</v>
      </c>
      <c r="C186" t="s">
        <v>225</v>
      </c>
      <c r="D186" s="155">
        <f>'(2) Extracurricular Report'!K22</f>
        <v>0</v>
      </c>
    </row>
    <row r="187" spans="1:4" x14ac:dyDescent="0.3">
      <c r="A187" t="s">
        <v>62</v>
      </c>
      <c r="B187" t="s">
        <v>66</v>
      </c>
      <c r="C187" t="s">
        <v>226</v>
      </c>
      <c r="D187" s="155">
        <f>'(2) Extracurricular Report'!K23</f>
        <v>0</v>
      </c>
    </row>
    <row r="188" spans="1:4" x14ac:dyDescent="0.3">
      <c r="A188" t="s">
        <v>62</v>
      </c>
      <c r="B188" t="s">
        <v>66</v>
      </c>
      <c r="C188" t="s">
        <v>227</v>
      </c>
      <c r="D188" s="155">
        <f>'(2) Extracurricular Report'!K24</f>
        <v>0</v>
      </c>
    </row>
    <row r="189" spans="1:4" x14ac:dyDescent="0.3">
      <c r="A189" t="s">
        <v>62</v>
      </c>
      <c r="B189" t="s">
        <v>66</v>
      </c>
      <c r="C189" t="s">
        <v>228</v>
      </c>
      <c r="D189" s="155">
        <f>'(2) Extracurricular Report'!K25</f>
        <v>0</v>
      </c>
    </row>
    <row r="190" spans="1:4" x14ac:dyDescent="0.3">
      <c r="A190" t="s">
        <v>62</v>
      </c>
      <c r="B190" t="s">
        <v>66</v>
      </c>
      <c r="C190" t="s">
        <v>229</v>
      </c>
      <c r="D190" s="155">
        <f>'(2) Extracurricular Report'!K26</f>
        <v>0</v>
      </c>
    </row>
    <row r="191" spans="1:4" x14ac:dyDescent="0.3">
      <c r="A191" t="s">
        <v>62</v>
      </c>
      <c r="B191" t="s">
        <v>66</v>
      </c>
      <c r="C191" t="s">
        <v>230</v>
      </c>
      <c r="D191" s="155">
        <f>'(2) Extracurricular Report'!K27</f>
        <v>0</v>
      </c>
    </row>
    <row r="192" spans="1:4" x14ac:dyDescent="0.3">
      <c r="A192" t="s">
        <v>62</v>
      </c>
      <c r="B192" t="s">
        <v>66</v>
      </c>
      <c r="C192" t="s">
        <v>231</v>
      </c>
      <c r="D192" s="155">
        <f>'(2) Extracurricular Report'!K28</f>
        <v>0</v>
      </c>
    </row>
    <row r="193" spans="1:4" x14ac:dyDescent="0.3">
      <c r="A193" t="s">
        <v>62</v>
      </c>
      <c r="B193" t="s">
        <v>66</v>
      </c>
      <c r="C193" t="s">
        <v>232</v>
      </c>
      <c r="D193">
        <f>'(2) Extracurricular Report'!L14</f>
        <v>0</v>
      </c>
    </row>
    <row r="194" spans="1:4" x14ac:dyDescent="0.3">
      <c r="A194" t="s">
        <v>62</v>
      </c>
      <c r="B194" t="s">
        <v>66</v>
      </c>
      <c r="C194" t="s">
        <v>233</v>
      </c>
      <c r="D194">
        <f>'(2) Extracurricular Report'!L15</f>
        <v>0</v>
      </c>
    </row>
    <row r="195" spans="1:4" x14ac:dyDescent="0.3">
      <c r="A195" t="s">
        <v>62</v>
      </c>
      <c r="B195" t="s">
        <v>66</v>
      </c>
      <c r="C195" t="s">
        <v>234</v>
      </c>
      <c r="D195">
        <f>'(2) Extracurricular Report'!L16</f>
        <v>0</v>
      </c>
    </row>
    <row r="196" spans="1:4" x14ac:dyDescent="0.3">
      <c r="A196" t="s">
        <v>62</v>
      </c>
      <c r="B196" t="s">
        <v>66</v>
      </c>
      <c r="C196" t="s">
        <v>235</v>
      </c>
      <c r="D196">
        <f>'(2) Extracurricular Report'!L17</f>
        <v>0</v>
      </c>
    </row>
    <row r="197" spans="1:4" x14ac:dyDescent="0.3">
      <c r="A197" t="s">
        <v>62</v>
      </c>
      <c r="B197" t="s">
        <v>66</v>
      </c>
      <c r="C197" t="s">
        <v>236</v>
      </c>
      <c r="D197">
        <f>'(2) Extracurricular Report'!L18</f>
        <v>0</v>
      </c>
    </row>
    <row r="198" spans="1:4" x14ac:dyDescent="0.3">
      <c r="A198" t="s">
        <v>62</v>
      </c>
      <c r="B198" t="s">
        <v>66</v>
      </c>
      <c r="C198" t="s">
        <v>237</v>
      </c>
      <c r="D198">
        <f>'(2) Extracurricular Report'!L19</f>
        <v>0</v>
      </c>
    </row>
    <row r="199" spans="1:4" x14ac:dyDescent="0.3">
      <c r="A199" t="s">
        <v>62</v>
      </c>
      <c r="B199" t="s">
        <v>66</v>
      </c>
      <c r="C199" t="s">
        <v>238</v>
      </c>
      <c r="D199">
        <f>'(2) Extracurricular Report'!L20</f>
        <v>0</v>
      </c>
    </row>
    <row r="200" spans="1:4" x14ac:dyDescent="0.3">
      <c r="A200" t="s">
        <v>62</v>
      </c>
      <c r="B200" t="s">
        <v>66</v>
      </c>
      <c r="C200" t="s">
        <v>239</v>
      </c>
      <c r="D200">
        <f>'(2) Extracurricular Report'!L21</f>
        <v>0</v>
      </c>
    </row>
    <row r="201" spans="1:4" x14ac:dyDescent="0.3">
      <c r="A201" t="s">
        <v>62</v>
      </c>
      <c r="B201" t="s">
        <v>66</v>
      </c>
      <c r="C201" t="s">
        <v>240</v>
      </c>
      <c r="D201">
        <f>'(2) Extracurricular Report'!L22</f>
        <v>0</v>
      </c>
    </row>
    <row r="202" spans="1:4" x14ac:dyDescent="0.3">
      <c r="A202" t="s">
        <v>62</v>
      </c>
      <c r="B202" t="s">
        <v>66</v>
      </c>
      <c r="C202" t="s">
        <v>241</v>
      </c>
      <c r="D202">
        <f>'(2) Extracurricular Report'!L23</f>
        <v>0</v>
      </c>
    </row>
    <row r="203" spans="1:4" x14ac:dyDescent="0.3">
      <c r="A203" t="s">
        <v>62</v>
      </c>
      <c r="B203" t="s">
        <v>66</v>
      </c>
      <c r="C203" t="s">
        <v>242</v>
      </c>
      <c r="D203">
        <f>'(2) Extracurricular Report'!L24</f>
        <v>0</v>
      </c>
    </row>
    <row r="204" spans="1:4" x14ac:dyDescent="0.3">
      <c r="A204" t="s">
        <v>62</v>
      </c>
      <c r="B204" t="s">
        <v>66</v>
      </c>
      <c r="C204" t="s">
        <v>243</v>
      </c>
      <c r="D204">
        <f>'(2) Extracurricular Report'!L25</f>
        <v>0</v>
      </c>
    </row>
    <row r="205" spans="1:4" x14ac:dyDescent="0.3">
      <c r="A205" t="s">
        <v>62</v>
      </c>
      <c r="B205" t="s">
        <v>66</v>
      </c>
      <c r="C205" t="s">
        <v>244</v>
      </c>
      <c r="D205">
        <f>'(2) Extracurricular Report'!L26</f>
        <v>0</v>
      </c>
    </row>
    <row r="206" spans="1:4" x14ac:dyDescent="0.3">
      <c r="A206" t="s">
        <v>62</v>
      </c>
      <c r="B206" t="s">
        <v>66</v>
      </c>
      <c r="C206" t="s">
        <v>245</v>
      </c>
      <c r="D206">
        <f>'(2) Extracurricular Report'!L27</f>
        <v>0</v>
      </c>
    </row>
    <row r="207" spans="1:4" x14ac:dyDescent="0.3">
      <c r="A207" t="s">
        <v>62</v>
      </c>
      <c r="B207" t="s">
        <v>66</v>
      </c>
      <c r="C207" t="s">
        <v>246</v>
      </c>
      <c r="D207">
        <f>'(2) Extracurricular Report'!L28</f>
        <v>0</v>
      </c>
    </row>
  </sheetData>
  <phoneticPr fontId="1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8218A-111F-4AAA-A64F-A5472C9BC3C7}">
  <dimension ref="A1:AE63"/>
  <sheetViews>
    <sheetView workbookViewId="0">
      <pane xSplit="2" ySplit="1" topLeftCell="K2" activePane="bottomRight" state="frozen"/>
      <selection pane="topRight" activeCell="C1" sqref="C1"/>
      <selection pane="bottomLeft" activeCell="A2" sqref="A2"/>
      <selection pane="bottomRight" activeCell="Q64" sqref="Q64"/>
    </sheetView>
  </sheetViews>
  <sheetFormatPr defaultRowHeight="14.4" x14ac:dyDescent="0.3"/>
  <cols>
    <col min="1" max="1" width="12.44140625" customWidth="1"/>
    <col min="2" max="2" width="14.6640625" customWidth="1"/>
    <col min="3" max="3" width="19.88671875" customWidth="1"/>
    <col min="4" max="4" width="24.109375" customWidth="1"/>
    <col min="5" max="5" width="22.33203125" customWidth="1"/>
    <col min="6" max="6" width="23" customWidth="1"/>
    <col min="7" max="7" width="20.6640625" customWidth="1"/>
    <col min="8" max="9" width="16.44140625" customWidth="1"/>
    <col min="10" max="10" width="17.33203125" customWidth="1"/>
    <col min="11" max="11" width="18.6640625" customWidth="1"/>
    <col min="12" max="12" width="18.88671875" customWidth="1"/>
    <col min="13" max="13" width="14.44140625" customWidth="1"/>
    <col min="14" max="14" width="21" customWidth="1"/>
    <col min="15" max="20" width="21.33203125" customWidth="1"/>
    <col min="21" max="21" width="23.5546875" customWidth="1"/>
    <col min="22" max="22" width="27.109375" customWidth="1"/>
    <col min="23" max="23" width="22.88671875" customWidth="1"/>
    <col min="24" max="25" width="14.5546875" customWidth="1"/>
    <col min="26" max="26" width="14.44140625" customWidth="1"/>
    <col min="27" max="27" width="16.5546875" style="158" customWidth="1"/>
    <col min="28" max="28" width="9" customWidth="1"/>
    <col min="30" max="30" width="9.88671875" customWidth="1"/>
  </cols>
  <sheetData>
    <row r="1" spans="1:31" s="86" customFormat="1" ht="115.2" x14ac:dyDescent="0.3">
      <c r="A1" s="86" t="s">
        <v>11</v>
      </c>
      <c r="B1" s="86" t="s">
        <v>320</v>
      </c>
      <c r="C1" s="86" t="s">
        <v>469</v>
      </c>
      <c r="D1" s="86" t="s">
        <v>470</v>
      </c>
      <c r="E1" s="86" t="s">
        <v>471</v>
      </c>
      <c r="F1" s="86" t="s">
        <v>472</v>
      </c>
      <c r="G1" s="86" t="s">
        <v>473</v>
      </c>
      <c r="H1" s="86" t="s">
        <v>474</v>
      </c>
      <c r="I1" s="86" t="s">
        <v>484</v>
      </c>
      <c r="J1" s="86" t="s">
        <v>475</v>
      </c>
      <c r="K1" s="86" t="s">
        <v>476</v>
      </c>
      <c r="L1" s="86" t="s">
        <v>477</v>
      </c>
      <c r="M1" s="86" t="s">
        <v>478</v>
      </c>
      <c r="N1" s="86" t="s">
        <v>479</v>
      </c>
      <c r="O1" s="86" t="s">
        <v>480</v>
      </c>
      <c r="P1" s="86" t="s">
        <v>489</v>
      </c>
      <c r="Q1" s="86" t="s">
        <v>487</v>
      </c>
      <c r="R1" s="86" t="s">
        <v>488</v>
      </c>
      <c r="S1" s="86" t="s">
        <v>490</v>
      </c>
      <c r="T1" s="86" t="s">
        <v>486</v>
      </c>
      <c r="U1" s="86" t="s">
        <v>481</v>
      </c>
      <c r="V1" s="86" t="s">
        <v>326</v>
      </c>
      <c r="W1" s="86" t="s">
        <v>12</v>
      </c>
      <c r="X1" s="86" t="s">
        <v>349</v>
      </c>
      <c r="Y1" s="86" t="s">
        <v>491</v>
      </c>
      <c r="Z1" s="86" t="s">
        <v>354</v>
      </c>
      <c r="AA1" s="157" t="s">
        <v>482</v>
      </c>
      <c r="AB1" s="86" t="s">
        <v>32</v>
      </c>
      <c r="AC1" s="86" t="s">
        <v>33</v>
      </c>
      <c r="AD1" s="86" t="s">
        <v>34</v>
      </c>
      <c r="AE1" s="86" t="s">
        <v>35</v>
      </c>
    </row>
    <row r="2" spans="1:31" s="86" customFormat="1" ht="28.8" x14ac:dyDescent="0.3">
      <c r="A2" s="86">
        <v>1</v>
      </c>
      <c r="B2" s="86" t="s">
        <v>485</v>
      </c>
      <c r="C2">
        <v>5959</v>
      </c>
      <c r="D2">
        <v>2413</v>
      </c>
      <c r="E2">
        <v>27</v>
      </c>
      <c r="F2">
        <v>2590</v>
      </c>
      <c r="G2">
        <v>119912</v>
      </c>
      <c r="H2" s="154">
        <v>2329354</v>
      </c>
      <c r="I2" s="154">
        <v>2307521</v>
      </c>
      <c r="J2" s="154">
        <v>15787</v>
      </c>
      <c r="K2" s="6">
        <v>4736</v>
      </c>
      <c r="L2" s="6"/>
      <c r="M2" s="6">
        <v>39787</v>
      </c>
      <c r="N2" s="6">
        <v>3449</v>
      </c>
      <c r="O2" s="6">
        <v>27449</v>
      </c>
      <c r="P2" s="6">
        <f>ROUND((Table2[[#This Row],[2023-24 CDS Payment]]-Table2[[#This Row],[TO/FROM cds]]),0)</f>
        <v>3449</v>
      </c>
      <c r="Q2" s="6">
        <v>4736</v>
      </c>
      <c r="R2" s="6">
        <v>0</v>
      </c>
      <c r="S2" s="6">
        <v>0</v>
      </c>
      <c r="T2" s="6">
        <f>ROUND(SUM(Table2[[#This Row],[EX CARRYOVER PRIOR TO ADJUSTMENT]],Table2[[#This Row],[2023-24 EX Allocation]])-Table2[[#This Row],[EX Repurposed]],0)</f>
        <v>8185</v>
      </c>
      <c r="U2" s="6">
        <v>77475554</v>
      </c>
      <c r="V2" s="6">
        <v>361459</v>
      </c>
      <c r="W2" s="6">
        <v>3114125</v>
      </c>
      <c r="X2" s="6">
        <v>413000</v>
      </c>
      <c r="Y2" s="6">
        <v>0</v>
      </c>
      <c r="Z2" s="6">
        <f>ROUND(IF(Table2[[#This Row],[2023-24 BCTEA Approved]]-Table2[[#This Row],[2022-23 BCTEA To/from Carryover]]-Table2[[#This Row],[ex Repurposed to TO/FROM]]&gt;0,Table2[[#This Row],[2023-24 BCTEA Approved]]-Table2[[#This Row],[2022-23 BCTEA To/from Carryover]]-Table2[[#This Row],[ex Repurposed to TO/FROM]], "$0"),0)</f>
        <v>24000</v>
      </c>
      <c r="AA2" s="158">
        <v>22</v>
      </c>
      <c r="AB2" s="6">
        <v>61</v>
      </c>
      <c r="AC2" s="6">
        <v>522</v>
      </c>
      <c r="AD2" s="6">
        <v>69</v>
      </c>
      <c r="AE2" s="6">
        <v>652</v>
      </c>
    </row>
    <row r="3" spans="1:31" x14ac:dyDescent="0.3">
      <c r="A3">
        <v>5</v>
      </c>
      <c r="B3" t="s">
        <v>350</v>
      </c>
      <c r="C3">
        <v>5959</v>
      </c>
      <c r="D3">
        <v>2413</v>
      </c>
      <c r="E3">
        <v>27</v>
      </c>
      <c r="F3">
        <v>2590</v>
      </c>
      <c r="G3">
        <v>119912</v>
      </c>
      <c r="H3" s="154">
        <v>2329354</v>
      </c>
      <c r="I3" s="154">
        <v>2307521</v>
      </c>
      <c r="J3" s="154">
        <v>15787</v>
      </c>
      <c r="K3" s="6">
        <v>4736</v>
      </c>
      <c r="L3" s="6"/>
      <c r="M3" s="6">
        <v>39787</v>
      </c>
      <c r="N3" s="6">
        <v>3449</v>
      </c>
      <c r="O3" s="6">
        <v>27449</v>
      </c>
      <c r="P3" s="6">
        <f>ROUND((Table2[[#This Row],[2023-24 CDS Payment]]-Table2[[#This Row],[TO/FROM cds]]),0)</f>
        <v>3449</v>
      </c>
      <c r="Q3" s="6">
        <v>4736</v>
      </c>
      <c r="R3" s="6">
        <v>0</v>
      </c>
      <c r="S3" s="6"/>
      <c r="T3" s="6">
        <f>ROUND(SUM(Table2[[#This Row],[EX CARRYOVER PRIOR TO ADJUSTMENT]],Table2[[#This Row],[2023-24 EX Allocation]])-Table2[[#This Row],[EX Repurposed]],0)</f>
        <v>8185</v>
      </c>
      <c r="U3" s="6">
        <v>77475554</v>
      </c>
      <c r="V3" s="6">
        <v>361459</v>
      </c>
      <c r="W3" s="6">
        <v>3114125</v>
      </c>
      <c r="X3" s="6">
        <v>413000</v>
      </c>
      <c r="Y3" s="6">
        <v>0</v>
      </c>
      <c r="Z3" s="6">
        <f>ROUND(IF(Table2[[#This Row],[2023-24 BCTEA Approved]]-Table2[[#This Row],[2022-23 BCTEA To/from Carryover]]-Table2[[#This Row],[ex Repurposed to TO/FROM]]&gt;0,Table2[[#This Row],[2023-24 BCTEA Approved]]-Table2[[#This Row],[2022-23 BCTEA To/from Carryover]]-Table2[[#This Row],[ex Repurposed to TO/FROM]], "$0"),0)</f>
        <v>24000</v>
      </c>
      <c r="AA3" s="158">
        <v>23</v>
      </c>
      <c r="AB3" s="6">
        <v>61</v>
      </c>
      <c r="AC3" s="6">
        <v>522</v>
      </c>
      <c r="AD3" s="6">
        <v>69</v>
      </c>
      <c r="AE3" s="6">
        <v>652</v>
      </c>
    </row>
    <row r="4" spans="1:31" x14ac:dyDescent="0.3">
      <c r="A4">
        <v>6</v>
      </c>
      <c r="B4" t="s">
        <v>311</v>
      </c>
      <c r="C4">
        <v>3546</v>
      </c>
      <c r="D4">
        <v>1600</v>
      </c>
      <c r="E4">
        <v>45</v>
      </c>
      <c r="F4">
        <v>3094</v>
      </c>
      <c r="G4">
        <v>55048</v>
      </c>
      <c r="H4" s="154">
        <v>1901286</v>
      </c>
      <c r="I4" s="154">
        <v>2027777</v>
      </c>
      <c r="J4" s="154">
        <v>626</v>
      </c>
      <c r="K4" s="6">
        <v>10102</v>
      </c>
      <c r="L4" s="6"/>
      <c r="M4" s="6">
        <v>6319</v>
      </c>
      <c r="N4" s="6">
        <v>6449</v>
      </c>
      <c r="O4" s="6">
        <v>12142</v>
      </c>
      <c r="P4" s="6">
        <f>ROUND((Table2[[#This Row],[2023-24 CDS Payment]]-Table2[[#This Row],[TO/FROM cds]]),0)</f>
        <v>6449</v>
      </c>
      <c r="Q4" s="6">
        <v>10102</v>
      </c>
      <c r="R4" s="6">
        <v>0</v>
      </c>
      <c r="S4" s="6"/>
      <c r="T4" s="6">
        <f>ROUND(SUM(Table2[[#This Row],[EX CARRYOVER PRIOR TO ADJUSTMENT]],Table2[[#This Row],[2023-24 EX Allocation]])-Table2[[#This Row],[EX Repurposed]],0)</f>
        <v>16551</v>
      </c>
      <c r="U4" s="6">
        <v>45652065</v>
      </c>
      <c r="V4" s="6">
        <v>369399</v>
      </c>
      <c r="W4" s="6">
        <v>2713057</v>
      </c>
      <c r="X4" s="6">
        <v>160000</v>
      </c>
      <c r="Y4" s="6">
        <v>0</v>
      </c>
      <c r="Z4" s="6">
        <f>ROUND(IF(Table2[[#This Row],[2023-24 BCTEA Approved]]-Table2[[#This Row],[2022-23 BCTEA To/from Carryover]]-Table2[[#This Row],[ex Repurposed to TO/FROM]]&gt;0,Table2[[#This Row],[2023-24 BCTEA Approved]]-Table2[[#This Row],[2022-23 BCTEA To/from Carryover]]-Table2[[#This Row],[ex Repurposed to TO/FROM]], "$0"),0)</f>
        <v>5693</v>
      </c>
      <c r="AA4" s="158">
        <v>43</v>
      </c>
      <c r="AB4" s="6">
        <v>106</v>
      </c>
      <c r="AC4" s="6">
        <v>779</v>
      </c>
      <c r="AD4" s="6">
        <v>46</v>
      </c>
      <c r="AE4" s="6">
        <v>931</v>
      </c>
    </row>
    <row r="5" spans="1:31" x14ac:dyDescent="0.3">
      <c r="A5">
        <v>8</v>
      </c>
      <c r="B5" t="s">
        <v>6</v>
      </c>
      <c r="C5">
        <v>4990</v>
      </c>
      <c r="D5">
        <v>2703</v>
      </c>
      <c r="E5">
        <v>11</v>
      </c>
      <c r="F5">
        <v>0</v>
      </c>
      <c r="G5">
        <v>6919</v>
      </c>
      <c r="H5" s="154">
        <v>2816821</v>
      </c>
      <c r="I5" s="154">
        <v>3204162</v>
      </c>
      <c r="J5" s="154">
        <v>0</v>
      </c>
      <c r="K5" s="6">
        <v>0</v>
      </c>
      <c r="L5" s="6"/>
      <c r="M5" s="6">
        <v>23348</v>
      </c>
      <c r="N5" s="6">
        <v>1350</v>
      </c>
      <c r="O5" s="6">
        <v>24698</v>
      </c>
      <c r="P5" s="6">
        <f>ROUND((Table2[[#This Row],[2023-24 CDS Payment]]-Table2[[#This Row],[TO/FROM cds]]),0)</f>
        <v>1350</v>
      </c>
      <c r="Q5" s="6">
        <v>0</v>
      </c>
      <c r="R5" s="6">
        <v>0</v>
      </c>
      <c r="S5" s="6"/>
      <c r="T5" s="6">
        <f>ROUND(SUM(Table2[[#This Row],[EX CARRYOVER PRIOR TO ADJUSTMENT]],Table2[[#This Row],[2023-24 EX Allocation]])-Table2[[#This Row],[EX Repurposed]],0)</f>
        <v>1350</v>
      </c>
      <c r="U5" s="6">
        <v>61510355</v>
      </c>
      <c r="V5" s="6">
        <v>419602</v>
      </c>
      <c r="W5" s="6">
        <v>2632939</v>
      </c>
      <c r="X5" s="6">
        <v>233000</v>
      </c>
      <c r="Y5" s="6">
        <v>0</v>
      </c>
      <c r="Z5" s="6">
        <f>ROUND(IF(Table2[[#This Row],[2023-24 BCTEA Approved]]-Table2[[#This Row],[2022-23 BCTEA To/from Carryover]]-Table2[[#This Row],[ex Repurposed to TO/FROM]]&gt;0,Table2[[#This Row],[2023-24 BCTEA Approved]]-Table2[[#This Row],[2022-23 BCTEA To/from Carryover]]-Table2[[#This Row],[ex Repurposed to TO/FROM]], "$0"),0)</f>
        <v>23348</v>
      </c>
      <c r="AA5" s="158">
        <v>9</v>
      </c>
      <c r="AB5" s="6">
        <v>88</v>
      </c>
      <c r="AC5" s="6">
        <v>551</v>
      </c>
      <c r="AD5" s="6">
        <v>49</v>
      </c>
      <c r="AE5" s="6">
        <v>688</v>
      </c>
    </row>
    <row r="6" spans="1:31" x14ac:dyDescent="0.3">
      <c r="A6">
        <v>10</v>
      </c>
      <c r="B6" t="s">
        <v>351</v>
      </c>
      <c r="H6" s="154">
        <v>412143</v>
      </c>
      <c r="I6" s="154">
        <v>504668</v>
      </c>
      <c r="J6" s="154"/>
      <c r="K6" s="6"/>
      <c r="L6" s="6"/>
      <c r="M6" s="6"/>
      <c r="N6" s="6">
        <v>0</v>
      </c>
      <c r="O6" s="6">
        <v>0</v>
      </c>
      <c r="P6" s="6">
        <f>ROUND((Table2[[#This Row],[2023-24 CDS Payment]]-Table2[[#This Row],[TO/FROM cds]]),0)</f>
        <v>0</v>
      </c>
      <c r="Q6" s="6"/>
      <c r="R6" s="6">
        <v>0</v>
      </c>
      <c r="S6" s="6"/>
      <c r="T6" s="6">
        <f>ROUND(SUM(Table2[[#This Row],[EX CARRYOVER PRIOR TO ADJUSTMENT]],Table2[[#This Row],[2023-24 EX Allocation]])-Table2[[#This Row],[EX Repurposed]],0)</f>
        <v>0</v>
      </c>
      <c r="U6" s="6">
        <v>10686619</v>
      </c>
      <c r="V6" s="6">
        <v>42675</v>
      </c>
      <c r="W6" s="6">
        <v>411596</v>
      </c>
      <c r="X6" s="6">
        <v>43000</v>
      </c>
      <c r="Y6" s="6">
        <v>0</v>
      </c>
      <c r="Z6" s="6">
        <f>ROUND(IF(Table2[[#This Row],[2023-24 BCTEA Approved]]-Table2[[#This Row],[2022-23 BCTEA To/from Carryover]]-Table2[[#This Row],[ex Repurposed to TO/FROM]]&gt;0,Table2[[#This Row],[2023-24 BCTEA Approved]]-Table2[[#This Row],[2022-23 BCTEA To/from Carryover]]-Table2[[#This Row],[ex Repurposed to TO/FROM]], "$0"),0)</f>
        <v>0</v>
      </c>
      <c r="AB6" s="6">
        <v>83</v>
      </c>
      <c r="AC6" s="6">
        <v>802</v>
      </c>
      <c r="AD6" s="6">
        <v>84</v>
      </c>
      <c r="AE6" s="6">
        <v>969</v>
      </c>
    </row>
    <row r="7" spans="1:31" x14ac:dyDescent="0.3">
      <c r="A7">
        <v>19</v>
      </c>
      <c r="B7" t="s">
        <v>310</v>
      </c>
      <c r="H7" s="154">
        <v>237230</v>
      </c>
      <c r="I7" s="154">
        <v>288877</v>
      </c>
      <c r="J7" s="154"/>
      <c r="K7" s="6"/>
      <c r="L7" s="6"/>
      <c r="M7" s="6"/>
      <c r="N7" s="6">
        <v>0</v>
      </c>
      <c r="O7" s="6">
        <v>0</v>
      </c>
      <c r="P7" s="6">
        <f>ROUND((Table2[[#This Row],[2023-24 CDS Payment]]-Table2[[#This Row],[TO/FROM cds]]),0)</f>
        <v>0</v>
      </c>
      <c r="Q7" s="6"/>
      <c r="R7" s="6">
        <v>0</v>
      </c>
      <c r="S7" s="6"/>
      <c r="T7" s="6">
        <f>ROUND(SUM(Table2[[#This Row],[EX CARRYOVER PRIOR TO ADJUSTMENT]],Table2[[#This Row],[2023-24 EX Allocation]])-Table2[[#This Row],[EX Repurposed]],0)</f>
        <v>0</v>
      </c>
      <c r="U7" s="6">
        <v>14569702</v>
      </c>
      <c r="V7" s="6">
        <v>49847</v>
      </c>
      <c r="W7" s="6">
        <v>346679</v>
      </c>
      <c r="X7" s="6">
        <v>66000</v>
      </c>
      <c r="Y7" s="6">
        <v>0</v>
      </c>
      <c r="Z7" s="6">
        <f>ROUND(IF(Table2[[#This Row],[2023-24 BCTEA Approved]]-Table2[[#This Row],[2022-23 BCTEA To/from Carryover]]-Table2[[#This Row],[ex Repurposed to TO/FROM]]&gt;0,Table2[[#This Row],[2023-24 BCTEA Approved]]-Table2[[#This Row],[2022-23 BCTEA To/from Carryover]]-Table2[[#This Row],[ex Repurposed to TO/FROM]], "$0"),0)</f>
        <v>0</v>
      </c>
      <c r="AB7" s="6">
        <v>46</v>
      </c>
      <c r="AC7" s="6">
        <v>319</v>
      </c>
      <c r="AD7" s="6">
        <v>61</v>
      </c>
      <c r="AE7" s="6">
        <v>426</v>
      </c>
    </row>
    <row r="8" spans="1:31" x14ac:dyDescent="0.3">
      <c r="A8">
        <v>20</v>
      </c>
      <c r="B8" t="s">
        <v>309</v>
      </c>
      <c r="H8" s="154">
        <v>1385705</v>
      </c>
      <c r="I8" s="154">
        <v>1537401</v>
      </c>
      <c r="J8" s="154"/>
      <c r="K8" s="6"/>
      <c r="L8" s="6"/>
      <c r="M8" s="6"/>
      <c r="N8" s="6">
        <v>0</v>
      </c>
      <c r="O8" s="6">
        <v>0</v>
      </c>
      <c r="P8" s="6">
        <f>ROUND((Table2[[#This Row],[2023-24 CDS Payment]]-Table2[[#This Row],[TO/FROM cds]]),0)</f>
        <v>0</v>
      </c>
      <c r="Q8" s="6"/>
      <c r="R8" s="6">
        <v>0</v>
      </c>
      <c r="S8" s="6"/>
      <c r="T8" s="6">
        <f>ROUND(SUM(Table2[[#This Row],[EX CARRYOVER PRIOR TO ADJUSTMENT]],Table2[[#This Row],[2023-24 EX Allocation]])-Table2[[#This Row],[EX Repurposed]],0)</f>
        <v>0</v>
      </c>
      <c r="U8" s="6">
        <v>50591717</v>
      </c>
      <c r="V8" s="6">
        <v>242977</v>
      </c>
      <c r="W8" s="6">
        <v>1809836</v>
      </c>
      <c r="X8" s="6">
        <v>242000</v>
      </c>
      <c r="Y8" s="6">
        <v>0</v>
      </c>
      <c r="Z8" s="6">
        <f>ROUND(IF(Table2[[#This Row],[2023-24 BCTEA Approved]]-Table2[[#This Row],[2022-23 BCTEA To/from Carryover]]-Table2[[#This Row],[ex Repurposed to TO/FROM]]&gt;0,Table2[[#This Row],[2023-24 BCTEA Approved]]-Table2[[#This Row],[2022-23 BCTEA To/from Carryover]]-Table2[[#This Row],[ex Repurposed to TO/FROM]], "$0"),0)</f>
        <v>0</v>
      </c>
      <c r="AB8" s="6">
        <v>58</v>
      </c>
      <c r="AC8" s="6">
        <v>434</v>
      </c>
      <c r="AD8" s="6">
        <v>58</v>
      </c>
      <c r="AE8" s="6">
        <v>550</v>
      </c>
    </row>
    <row r="9" spans="1:31" x14ac:dyDescent="0.3">
      <c r="A9">
        <v>22</v>
      </c>
      <c r="B9" t="s">
        <v>308</v>
      </c>
      <c r="C9">
        <v>8738</v>
      </c>
      <c r="D9">
        <v>2500</v>
      </c>
      <c r="E9">
        <v>96</v>
      </c>
      <c r="F9">
        <v>3096</v>
      </c>
      <c r="G9">
        <v>171000</v>
      </c>
      <c r="H9" s="154">
        <v>2031280</v>
      </c>
      <c r="I9" s="154">
        <v>2153224</v>
      </c>
      <c r="J9" s="154">
        <v>0</v>
      </c>
      <c r="K9" s="6">
        <v>27154</v>
      </c>
      <c r="L9" s="6"/>
      <c r="M9" s="6">
        <v>95503</v>
      </c>
      <c r="N9" s="6">
        <v>14397</v>
      </c>
      <c r="O9" s="6">
        <v>109900</v>
      </c>
      <c r="P9" s="6">
        <f>ROUND((Table2[[#This Row],[2023-24 CDS Payment]]-Table2[[#This Row],[TO/FROM cds]]),0)</f>
        <v>14397</v>
      </c>
      <c r="Q9" s="6">
        <v>27154</v>
      </c>
      <c r="R9" s="6">
        <v>0</v>
      </c>
      <c r="S9" s="6"/>
      <c r="T9" s="6">
        <f>ROUND(SUM(Table2[[#This Row],[EX CARRYOVER PRIOR TO ADJUSTMENT]],Table2[[#This Row],[2023-24 EX Allocation]])-Table2[[#This Row],[EX Repurposed]],0)</f>
        <v>41551</v>
      </c>
      <c r="U9" s="6">
        <v>102948158</v>
      </c>
      <c r="V9" s="6">
        <v>361094</v>
      </c>
      <c r="W9" s="6">
        <v>2326974</v>
      </c>
      <c r="X9" s="6">
        <v>497000</v>
      </c>
      <c r="Y9" s="6">
        <v>0</v>
      </c>
      <c r="Z9" s="6">
        <f>ROUND(IF(Table2[[#This Row],[2023-24 BCTEA Approved]]-Table2[[#This Row],[2022-23 BCTEA To/from Carryover]]-Table2[[#This Row],[ex Repurposed to TO/FROM]]&gt;0,Table2[[#This Row],[2023-24 BCTEA Approved]]-Table2[[#This Row],[2022-23 BCTEA To/from Carryover]]-Table2[[#This Row],[ex Repurposed to TO/FROM]], "$0"),0)</f>
        <v>95503</v>
      </c>
      <c r="AA9" s="158">
        <v>96</v>
      </c>
      <c r="AB9" s="6">
        <v>41</v>
      </c>
      <c r="AC9" s="6">
        <v>265</v>
      </c>
      <c r="AD9" s="6">
        <v>57</v>
      </c>
      <c r="AE9" s="6">
        <v>363</v>
      </c>
    </row>
    <row r="10" spans="1:31" x14ac:dyDescent="0.3">
      <c r="A10">
        <v>23</v>
      </c>
      <c r="B10" t="s">
        <v>307</v>
      </c>
      <c r="C10">
        <v>24000</v>
      </c>
      <c r="D10">
        <v>4809</v>
      </c>
      <c r="E10">
        <v>3</v>
      </c>
      <c r="F10">
        <v>4378</v>
      </c>
      <c r="G10">
        <v>3301</v>
      </c>
      <c r="H10" s="154">
        <v>5273336</v>
      </c>
      <c r="I10" s="154">
        <v>5746165</v>
      </c>
      <c r="J10" s="154"/>
      <c r="K10" s="6">
        <v>3949</v>
      </c>
      <c r="L10" s="6"/>
      <c r="M10" s="6">
        <v>0</v>
      </c>
      <c r="N10" s="6">
        <v>1800</v>
      </c>
      <c r="O10" s="6">
        <v>107</v>
      </c>
      <c r="P10" s="6">
        <f>ROUND((Table2[[#This Row],[2023-24 CDS Payment]]-Table2[[#This Row],[TO/FROM cds]]),0)</f>
        <v>107</v>
      </c>
      <c r="Q10" s="6">
        <v>5642</v>
      </c>
      <c r="R10" s="6">
        <v>1693</v>
      </c>
      <c r="S10" s="6">
        <v>1693</v>
      </c>
      <c r="T10" s="6">
        <f>ROUND(SUM(Table2[[#This Row],[EX CARRYOVER PRIOR TO ADJUSTMENT]],Table2[[#This Row],[2023-24 EX Allocation]])-Table2[[#This Row],[EX Repurposed]],0)</f>
        <v>5749</v>
      </c>
      <c r="U10" s="6">
        <v>272951130</v>
      </c>
      <c r="V10" s="6">
        <v>600000</v>
      </c>
      <c r="W10" s="6">
        <v>3748667</v>
      </c>
      <c r="X10" s="6">
        <v>1364000</v>
      </c>
      <c r="Y10" s="6">
        <v>0</v>
      </c>
      <c r="Z10" s="6">
        <f>ROUND(IF(Table2[[#This Row],[2023-24 BCTEA Approved]]-Table2[[#This Row],[2022-23 BCTEA To/from Carryover]]-Table2[[#This Row],[ex Repurposed to TO/FROM]]&gt;0,Table2[[#This Row],[2023-24 BCTEA Approved]]-Table2[[#This Row],[2022-23 BCTEA To/from Carryover]]-Table2[[#This Row],[ex Repurposed to TO/FROM]], "$0"),0)</f>
        <v>0</v>
      </c>
      <c r="AA10" s="158">
        <v>12</v>
      </c>
      <c r="AB10" s="6">
        <v>24</v>
      </c>
      <c r="AC10" s="6">
        <v>151</v>
      </c>
      <c r="AD10" s="6">
        <v>55</v>
      </c>
      <c r="AE10" s="6">
        <v>230</v>
      </c>
    </row>
    <row r="11" spans="1:31" x14ac:dyDescent="0.3">
      <c r="A11">
        <v>27</v>
      </c>
      <c r="B11" t="s">
        <v>306</v>
      </c>
      <c r="C11">
        <v>4730</v>
      </c>
      <c r="D11">
        <v>3492</v>
      </c>
      <c r="E11">
        <v>271</v>
      </c>
      <c r="F11">
        <v>9098</v>
      </c>
      <c r="G11">
        <v>522408</v>
      </c>
      <c r="H11" s="154">
        <v>4551972</v>
      </c>
      <c r="I11" s="154">
        <v>5200142</v>
      </c>
      <c r="J11" s="154">
        <v>34913</v>
      </c>
      <c r="K11" s="6">
        <v>75492</v>
      </c>
      <c r="L11" s="6"/>
      <c r="M11" s="6">
        <v>91069</v>
      </c>
      <c r="N11" s="6">
        <v>45441</v>
      </c>
      <c r="O11" s="6">
        <v>69243</v>
      </c>
      <c r="P11" s="6">
        <f>ROUND((Table2[[#This Row],[2023-24 CDS Payment]]-Table2[[#This Row],[TO/FROM cds]]),0)</f>
        <v>45441</v>
      </c>
      <c r="Q11" s="6">
        <v>107846</v>
      </c>
      <c r="R11" s="6">
        <v>32354</v>
      </c>
      <c r="S11" s="6"/>
      <c r="T11" s="6">
        <f>ROUND(SUM(Table2[[#This Row],[EX CARRYOVER PRIOR TO ADJUSTMENT]],Table2[[#This Row],[2023-24 EX Allocation]])-Table2[[#This Row],[EX Repurposed]],0)</f>
        <v>120933</v>
      </c>
      <c r="U11" s="6">
        <v>59970207</v>
      </c>
      <c r="V11" s="6">
        <v>739024</v>
      </c>
      <c r="W11" s="6">
        <v>4730417</v>
      </c>
      <c r="X11" s="6">
        <v>223000</v>
      </c>
      <c r="Y11" s="6">
        <v>32354</v>
      </c>
      <c r="Z11" s="6">
        <f>ROUND(IF(Table2[[#This Row],[2023-24 BCTEA Approved]]-Table2[[#This Row],[2022-23 BCTEA To/from Carryover]]-Table2[[#This Row],[ex Repurposed to TO/FROM]]&gt;0,Table2[[#This Row],[2023-24 BCTEA Approved]]-Table2[[#This Row],[2022-23 BCTEA To/from Carryover]]-Table2[[#This Row],[ex Repurposed to TO/FROM]], "$0"),0)</f>
        <v>23802</v>
      </c>
      <c r="AA11" s="158">
        <v>303</v>
      </c>
      <c r="AB11" s="6">
        <v>161</v>
      </c>
      <c r="AC11" s="6">
        <v>1031</v>
      </c>
      <c r="AD11" s="6">
        <v>49</v>
      </c>
      <c r="AE11" s="6">
        <v>1241</v>
      </c>
    </row>
    <row r="12" spans="1:31" x14ac:dyDescent="0.3">
      <c r="A12">
        <v>28</v>
      </c>
      <c r="B12" t="s">
        <v>305</v>
      </c>
      <c r="C12">
        <v>3012</v>
      </c>
      <c r="D12">
        <v>2410</v>
      </c>
      <c r="E12">
        <v>62</v>
      </c>
      <c r="F12">
        <v>4585</v>
      </c>
      <c r="G12">
        <v>48732</v>
      </c>
      <c r="H12" s="154">
        <v>2080069</v>
      </c>
      <c r="I12" s="154">
        <v>2190815</v>
      </c>
      <c r="J12" s="154">
        <v>9095</v>
      </c>
      <c r="K12" s="6">
        <v>27786</v>
      </c>
      <c r="L12" s="6"/>
      <c r="M12" s="6">
        <v>172000</v>
      </c>
      <c r="N12" s="6">
        <v>12897</v>
      </c>
      <c r="O12" s="6">
        <v>163894</v>
      </c>
      <c r="P12" s="159">
        <v>12897</v>
      </c>
      <c r="Q12" s="6">
        <v>39695</v>
      </c>
      <c r="R12" s="6">
        <v>11909</v>
      </c>
      <c r="S12" s="6"/>
      <c r="T12" s="6">
        <f>ROUND(SUM(Table2[[#This Row],[EX CARRYOVER PRIOR TO ADJUSTMENT]],Table2[[#This Row],[2023-24 EX Allocation]])-Table2[[#This Row],[EX Repurposed]],0)</f>
        <v>40683</v>
      </c>
      <c r="U12" s="6">
        <v>40559877</v>
      </c>
      <c r="V12" s="6">
        <v>274209</v>
      </c>
      <c r="W12" s="6">
        <v>1778921</v>
      </c>
      <c r="X12" s="6">
        <v>247000</v>
      </c>
      <c r="Y12" s="6">
        <v>11909</v>
      </c>
      <c r="Z12" s="6">
        <f>ROUND(IF(Table2[[#This Row],[2023-24 BCTEA Approved]]-Table2[[#This Row],[2022-23 BCTEA To/from Carryover]]-Table2[[#This Row],[ex Repurposed to TO/FROM]]&gt;0,Table2[[#This Row],[2023-24 BCTEA Approved]]-Table2[[#This Row],[2022-23 BCTEA To/from Carryover]]-Table2[[#This Row],[ex Repurposed to TO/FROM]], "$0"),0)</f>
        <v>150996</v>
      </c>
      <c r="AA12" s="158">
        <v>86</v>
      </c>
      <c r="AB12" s="6">
        <v>92</v>
      </c>
      <c r="AC12" s="6">
        <v>595</v>
      </c>
      <c r="AD12" s="6">
        <v>83</v>
      </c>
      <c r="AE12" s="6">
        <v>770</v>
      </c>
    </row>
    <row r="13" spans="1:31" x14ac:dyDescent="0.3">
      <c r="A13">
        <v>33</v>
      </c>
      <c r="B13" t="s">
        <v>304</v>
      </c>
      <c r="C13">
        <v>14873</v>
      </c>
      <c r="D13">
        <v>3752</v>
      </c>
      <c r="E13">
        <v>238</v>
      </c>
      <c r="F13">
        <v>4921</v>
      </c>
      <c r="G13">
        <v>96215</v>
      </c>
      <c r="H13" s="154">
        <v>3713334</v>
      </c>
      <c r="I13" s="154">
        <v>3873305</v>
      </c>
      <c r="J13" s="154">
        <v>27686</v>
      </c>
      <c r="K13" s="6">
        <v>121081</v>
      </c>
      <c r="L13" s="6"/>
      <c r="M13" s="6">
        <v>27686</v>
      </c>
      <c r="N13" s="6">
        <v>51740</v>
      </c>
      <c r="O13" s="6">
        <v>0</v>
      </c>
      <c r="P13" s="6">
        <f>ROUND((Table2[[#This Row],[2023-24 CDS Payment]]-Table2[[#This Row],[TO/FROM cds]]),0)</f>
        <v>0</v>
      </c>
      <c r="Q13" s="6">
        <v>186279</v>
      </c>
      <c r="R13" s="6">
        <v>65198</v>
      </c>
      <c r="S13" s="6">
        <v>51709</v>
      </c>
      <c r="T13" s="6">
        <f>ROUND(SUM(Table2[[#This Row],[EX CARRYOVER PRIOR TO ADJUSTMENT]],Table2[[#This Row],[2023-24 EX Allocation]])-Table2[[#This Row],[EX Repurposed]],0)</f>
        <v>172821</v>
      </c>
      <c r="U13" s="6">
        <v>174103119</v>
      </c>
      <c r="V13" s="6">
        <v>329456</v>
      </c>
      <c r="W13" s="6">
        <v>2405495</v>
      </c>
      <c r="X13" s="6">
        <v>959000</v>
      </c>
      <c r="Y13" s="6">
        <v>13489</v>
      </c>
      <c r="Z13" s="6">
        <f>ROUND(IF(Table2[[#This Row],[2023-24 BCTEA Approved]]-Table2[[#This Row],[2022-23 BCTEA To/from Carryover]]-Table2[[#This Row],[ex Repurposed to TO/FROM]]&gt;0,Table2[[#This Row],[2023-24 BCTEA Approved]]-Table2[[#This Row],[2022-23 BCTEA To/from Carryover]]-Table2[[#This Row],[ex Repurposed to TO/FROM]], "$0"),0)</f>
        <v>0</v>
      </c>
      <c r="AA13" s="158">
        <v>345</v>
      </c>
      <c r="AB13" s="6">
        <v>21</v>
      </c>
      <c r="AC13" s="6">
        <v>157</v>
      </c>
      <c r="AD13" s="6">
        <v>63</v>
      </c>
      <c r="AE13" s="6">
        <v>241</v>
      </c>
    </row>
    <row r="14" spans="1:31" x14ac:dyDescent="0.3">
      <c r="A14">
        <v>34</v>
      </c>
      <c r="B14" t="s">
        <v>303</v>
      </c>
      <c r="C14">
        <v>19861</v>
      </c>
      <c r="D14">
        <v>2600</v>
      </c>
      <c r="E14">
        <v>60</v>
      </c>
      <c r="F14" t="s">
        <v>483</v>
      </c>
      <c r="G14">
        <v>39568</v>
      </c>
      <c r="H14" s="154">
        <v>3959765</v>
      </c>
      <c r="I14" s="154">
        <v>3550192</v>
      </c>
      <c r="J14" s="154">
        <v>31443</v>
      </c>
      <c r="K14" s="6">
        <v>0</v>
      </c>
      <c r="L14" s="6"/>
      <c r="M14" s="6">
        <v>0</v>
      </c>
      <c r="N14" s="6">
        <v>10348</v>
      </c>
      <c r="O14" s="6">
        <v>10348</v>
      </c>
      <c r="P14" s="6">
        <f>ROUND((Table2[[#This Row],[2023-24 CDS Payment]]-Table2[[#This Row],[TO/FROM cds]]),0)</f>
        <v>10348</v>
      </c>
      <c r="Q14" s="6">
        <v>0</v>
      </c>
      <c r="R14" s="6">
        <v>0</v>
      </c>
      <c r="S14" s="6"/>
      <c r="T14" s="6">
        <f>ROUND(SUM(Table2[[#This Row],[EX CARRYOVER PRIOR TO ADJUSTMENT]],Table2[[#This Row],[2023-24 EX Allocation]])-Table2[[#This Row],[EX Repurposed]],0)</f>
        <v>10348</v>
      </c>
      <c r="U14" s="6">
        <v>216178529</v>
      </c>
      <c r="V14" s="6">
        <v>313969</v>
      </c>
      <c r="W14" s="6">
        <v>1588000</v>
      </c>
      <c r="X14" s="6">
        <v>1051000</v>
      </c>
      <c r="Y14" s="6">
        <v>0</v>
      </c>
      <c r="Z14" s="6">
        <f>ROUND(IF(Table2[[#This Row],[2023-24 BCTEA Approved]]-Table2[[#This Row],[2022-23 BCTEA To/from Carryover]]-Table2[[#This Row],[ex Repurposed to TO/FROM]]&gt;0,Table2[[#This Row],[2023-24 BCTEA Approved]]-Table2[[#This Row],[2022-23 BCTEA To/from Carryover]]-Table2[[#This Row],[ex Repurposed to TO/FROM]], "$0"),0)</f>
        <v>0</v>
      </c>
      <c r="AA14" s="158">
        <v>69</v>
      </c>
      <c r="AB14" s="6">
        <v>16</v>
      </c>
      <c r="AC14" s="6">
        <v>79</v>
      </c>
      <c r="AD14" s="6">
        <v>52</v>
      </c>
      <c r="AE14" s="6">
        <v>147</v>
      </c>
    </row>
    <row r="15" spans="1:31" x14ac:dyDescent="0.3">
      <c r="A15">
        <v>35</v>
      </c>
      <c r="B15" t="s">
        <v>302</v>
      </c>
      <c r="C15">
        <v>23690</v>
      </c>
      <c r="D15">
        <v>1002</v>
      </c>
      <c r="E15">
        <v>26</v>
      </c>
      <c r="F15">
        <v>3000</v>
      </c>
      <c r="G15">
        <v>28635</v>
      </c>
      <c r="H15" s="154">
        <v>2141253</v>
      </c>
      <c r="I15" s="154">
        <v>2218342</v>
      </c>
      <c r="J15" s="154">
        <v>2722</v>
      </c>
      <c r="K15" s="6">
        <v>9012</v>
      </c>
      <c r="L15" s="6"/>
      <c r="M15" s="6">
        <v>37202</v>
      </c>
      <c r="N15" s="6">
        <v>3899</v>
      </c>
      <c r="O15" s="6">
        <v>34517</v>
      </c>
      <c r="P15" s="159">
        <v>3899</v>
      </c>
      <c r="Q15" s="6">
        <v>12875</v>
      </c>
      <c r="R15" s="6">
        <v>3863</v>
      </c>
      <c r="S15" s="6"/>
      <c r="T15" s="6">
        <f>ROUND(SUM(Table2[[#This Row],[EX CARRYOVER PRIOR TO ADJUSTMENT]],Table2[[#This Row],[2023-24 EX Allocation]])-Table2[[#This Row],[EX Repurposed]],0)</f>
        <v>12911</v>
      </c>
      <c r="U15" s="6">
        <v>260154200</v>
      </c>
      <c r="V15" s="6">
        <v>260000</v>
      </c>
      <c r="W15" s="6">
        <v>1864070</v>
      </c>
      <c r="X15" s="6">
        <v>1380000</v>
      </c>
      <c r="Y15" s="6">
        <v>3863</v>
      </c>
      <c r="Z15" s="6">
        <f>ROUND(IF(Table2[[#This Row],[2023-24 BCTEA Approved]]-Table2[[#This Row],[2022-23 BCTEA To/from Carryover]]-Table2[[#This Row],[ex Repurposed to TO/FROM]]&gt;0,Table2[[#This Row],[2023-24 BCTEA Approved]]-Table2[[#This Row],[2022-23 BCTEA To/from Carryover]]-Table2[[#This Row],[ex Repurposed to TO/FROM]], "$0"),0)</f>
        <v>30617</v>
      </c>
      <c r="AA15" s="158">
        <v>26</v>
      </c>
      <c r="AB15" s="6">
        <v>11</v>
      </c>
      <c r="AC15" s="6">
        <v>76</v>
      </c>
      <c r="AD15" s="6">
        <v>56</v>
      </c>
      <c r="AE15" s="6">
        <v>143</v>
      </c>
    </row>
    <row r="16" spans="1:31" x14ac:dyDescent="0.3">
      <c r="A16">
        <v>36</v>
      </c>
      <c r="B16" t="s">
        <v>301</v>
      </c>
      <c r="C16">
        <v>75131</v>
      </c>
      <c r="D16">
        <v>687</v>
      </c>
      <c r="E16">
        <v>2</v>
      </c>
      <c r="F16">
        <v>0</v>
      </c>
      <c r="G16">
        <v>32274</v>
      </c>
      <c r="H16" s="154">
        <v>7695705</v>
      </c>
      <c r="I16" s="154">
        <v>8827971</v>
      </c>
      <c r="J16" s="154">
        <v>0</v>
      </c>
      <c r="K16" s="6">
        <v>9192</v>
      </c>
      <c r="L16" s="6"/>
      <c r="M16" s="6">
        <v>34276</v>
      </c>
      <c r="N16" s="6">
        <v>3149</v>
      </c>
      <c r="O16" s="6">
        <v>32476</v>
      </c>
      <c r="P16" s="159">
        <v>3149</v>
      </c>
      <c r="Q16" s="6">
        <v>14142</v>
      </c>
      <c r="R16" s="6">
        <v>4950</v>
      </c>
      <c r="S16" s="6"/>
      <c r="T16" s="6">
        <f>ROUND(SUM(Table2[[#This Row],[EX CARRYOVER PRIOR TO ADJUSTMENT]],Table2[[#This Row],[2023-24 EX Allocation]])-Table2[[#This Row],[EX Repurposed]],0)</f>
        <v>12341</v>
      </c>
      <c r="U16" s="6">
        <v>850062235</v>
      </c>
      <c r="V16" s="6">
        <v>72999</v>
      </c>
      <c r="W16" s="6">
        <v>488477</v>
      </c>
      <c r="X16" s="6">
        <v>4409000</v>
      </c>
      <c r="Y16" s="6">
        <v>4950</v>
      </c>
      <c r="Z16" s="6">
        <f>ROUND(IF(Table2[[#This Row],[2023-24 BCTEA Approved]]-Table2[[#This Row],[2022-23 BCTEA To/from Carryover]]-Table2[[#This Row],[ex Repurposed to TO/FROM]]&gt;0,Table2[[#This Row],[2023-24 BCTEA Approved]]-Table2[[#This Row],[2022-23 BCTEA To/from Carryover]]-Table2[[#This Row],[ex Repurposed to TO/FROM]], "$0"),0)</f>
        <v>29326</v>
      </c>
      <c r="AA16" s="158">
        <v>21</v>
      </c>
      <c r="AB16" s="6">
        <v>1</v>
      </c>
      <c r="AC16" s="6">
        <v>6</v>
      </c>
      <c r="AD16" s="6">
        <v>56</v>
      </c>
      <c r="AE16" s="6">
        <v>63</v>
      </c>
    </row>
    <row r="17" spans="1:31" x14ac:dyDescent="0.3">
      <c r="A17">
        <v>37</v>
      </c>
      <c r="B17" t="s">
        <v>300</v>
      </c>
      <c r="H17" s="154">
        <v>1081559</v>
      </c>
      <c r="I17" s="154">
        <v>1109848</v>
      </c>
      <c r="J17" s="154"/>
      <c r="K17" s="6"/>
      <c r="L17" s="6"/>
      <c r="M17" s="6">
        <v>0</v>
      </c>
      <c r="N17" s="6">
        <v>0</v>
      </c>
      <c r="O17" s="6">
        <v>0</v>
      </c>
      <c r="P17" s="6">
        <f>ROUND((Table2[[#This Row],[2023-24 CDS Payment]]-Table2[[#This Row],[TO/FROM cds]]),0)</f>
        <v>0</v>
      </c>
      <c r="Q17" s="6"/>
      <c r="R17" s="6">
        <v>0</v>
      </c>
      <c r="S17" s="6"/>
      <c r="T17" s="6">
        <f>ROUND(SUM(Table2[[#This Row],[EX CARRYOVER PRIOR TO ADJUSTMENT]],Table2[[#This Row],[2023-24 EX Allocation]])-Table2[[#This Row],[EX Repurposed]],0)</f>
        <v>0</v>
      </c>
      <c r="U17" s="6">
        <v>169263148</v>
      </c>
      <c r="V17" s="6">
        <v>41933</v>
      </c>
      <c r="W17" s="6">
        <v>260213</v>
      </c>
      <c r="X17" s="6">
        <v>873000</v>
      </c>
      <c r="Y17" s="6">
        <v>0</v>
      </c>
      <c r="Z17" s="6">
        <f>ROUND(IF(Table2[[#This Row],[2023-24 BCTEA Approved]]-Table2[[#This Row],[2022-23 BCTEA To/from Carryover]]-Table2[[#This Row],[ex Repurposed to TO/FROM]]&gt;0,Table2[[#This Row],[2023-24 BCTEA Approved]]-Table2[[#This Row],[2022-23 BCTEA To/from Carryover]]-Table2[[#This Row],[ex Repurposed to TO/FROM]], "$0"),0)</f>
        <v>0</v>
      </c>
      <c r="AB17" s="6">
        <v>3</v>
      </c>
      <c r="AC17" s="6">
        <v>16</v>
      </c>
      <c r="AD17" s="6">
        <v>55</v>
      </c>
      <c r="AE17" s="6">
        <v>74</v>
      </c>
    </row>
    <row r="18" spans="1:31" x14ac:dyDescent="0.3">
      <c r="A18">
        <v>38</v>
      </c>
      <c r="B18" t="s">
        <v>7</v>
      </c>
      <c r="H18" s="154">
        <v>1322443</v>
      </c>
      <c r="I18" s="154">
        <v>1564275</v>
      </c>
      <c r="J18" s="154"/>
      <c r="K18" s="6"/>
      <c r="L18" s="6"/>
      <c r="M18" s="6"/>
      <c r="N18" s="6">
        <v>0</v>
      </c>
      <c r="O18" s="6">
        <v>0</v>
      </c>
      <c r="P18" s="6">
        <f>ROUND((Table2[[#This Row],[2023-24 CDS Payment]]-Table2[[#This Row],[TO/FROM cds]]),0)</f>
        <v>0</v>
      </c>
      <c r="Q18" s="6"/>
      <c r="R18" s="6">
        <v>0</v>
      </c>
      <c r="S18" s="6"/>
      <c r="T18" s="6">
        <f>ROUND(SUM(Table2[[#This Row],[EX CARRYOVER PRIOR TO ADJUSTMENT]],Table2[[#This Row],[2023-24 EX Allocation]])-Table2[[#This Row],[EX Repurposed]],0)</f>
        <v>0</v>
      </c>
      <c r="U18" s="6">
        <v>231617185</v>
      </c>
      <c r="V18" s="6">
        <v>21608</v>
      </c>
      <c r="W18" s="6">
        <v>136610</v>
      </c>
      <c r="X18" s="6">
        <v>977000</v>
      </c>
      <c r="Y18" s="6">
        <v>0</v>
      </c>
      <c r="Z18" s="6">
        <f>ROUND(IF(Table2[[#This Row],[2023-24 BCTEA Approved]]-Table2[[#This Row],[2022-23 BCTEA To/from Carryover]]-Table2[[#This Row],[ex Repurposed to TO/FROM]]&gt;0,Table2[[#This Row],[2023-24 BCTEA Approved]]-Table2[[#This Row],[2022-23 BCTEA To/from Carryover]]-Table2[[#This Row],[ex Repurposed to TO/FROM]], "$0"),0)</f>
        <v>0</v>
      </c>
      <c r="AB18" s="6">
        <v>1</v>
      </c>
      <c r="AC18" s="6">
        <v>6</v>
      </c>
      <c r="AD18" s="6">
        <v>45</v>
      </c>
      <c r="AE18" s="6">
        <v>52</v>
      </c>
    </row>
    <row r="19" spans="1:31" x14ac:dyDescent="0.3">
      <c r="A19">
        <v>39</v>
      </c>
      <c r="B19" t="s">
        <v>299</v>
      </c>
      <c r="C19">
        <v>123</v>
      </c>
      <c r="D19">
        <v>112</v>
      </c>
      <c r="E19">
        <v>123</v>
      </c>
      <c r="F19">
        <v>2.6</v>
      </c>
      <c r="G19">
        <v>31964</v>
      </c>
      <c r="H19" s="154">
        <v>3351096</v>
      </c>
      <c r="I19" s="154">
        <v>3303996</v>
      </c>
      <c r="J19" s="154">
        <v>0</v>
      </c>
      <c r="K19" s="6">
        <v>0</v>
      </c>
      <c r="L19" s="6"/>
      <c r="M19" s="6">
        <v>128511</v>
      </c>
      <c r="N19" s="6">
        <v>17996</v>
      </c>
      <c r="O19" s="6">
        <v>146507</v>
      </c>
      <c r="P19" s="6">
        <f>ROUND((Table2[[#This Row],[2023-24 CDS Payment]]-Table2[[#This Row],[TO/FROM cds]]),0)</f>
        <v>17996</v>
      </c>
      <c r="Q19" s="6">
        <v>0</v>
      </c>
      <c r="R19" s="6">
        <v>0</v>
      </c>
      <c r="S19" s="6"/>
      <c r="T19" s="6">
        <f>ROUND(SUM(Table2[[#This Row],[EX CARRYOVER PRIOR TO ADJUSTMENT]],Table2[[#This Row],[2023-24 EX Allocation]])-Table2[[#This Row],[EX Repurposed]],0)</f>
        <v>17996</v>
      </c>
      <c r="U19" s="6">
        <v>542100585</v>
      </c>
      <c r="V19" s="6">
        <v>53423</v>
      </c>
      <c r="W19" s="6">
        <v>318797</v>
      </c>
      <c r="X19" s="6">
        <v>2763000</v>
      </c>
      <c r="Y19" s="6">
        <v>0</v>
      </c>
      <c r="Z19" s="6">
        <f>ROUND(IF(Table2[[#This Row],[2023-24 BCTEA Approved]]-Table2[[#This Row],[2022-23 BCTEA To/from Carryover]]-Table2[[#This Row],[ex Repurposed to TO/FROM]]&gt;0,Table2[[#This Row],[2023-24 BCTEA Approved]]-Table2[[#This Row],[2022-23 BCTEA To/from Carryover]]-Table2[[#This Row],[ex Repurposed to TO/FROM]], "$0"),0)</f>
        <v>128511</v>
      </c>
      <c r="AA19" s="158">
        <v>120</v>
      </c>
      <c r="AB19" s="6">
        <v>1</v>
      </c>
      <c r="AC19" s="6">
        <v>6</v>
      </c>
      <c r="AD19" s="6">
        <v>55</v>
      </c>
      <c r="AE19" s="6">
        <v>62</v>
      </c>
    </row>
    <row r="20" spans="1:31" x14ac:dyDescent="0.3">
      <c r="A20">
        <v>40</v>
      </c>
      <c r="B20" t="s">
        <v>298</v>
      </c>
      <c r="H20" s="154">
        <v>254802</v>
      </c>
      <c r="I20" s="154">
        <v>284027</v>
      </c>
      <c r="J20" s="154"/>
      <c r="K20" s="6"/>
      <c r="L20" s="6"/>
      <c r="M20" s="6"/>
      <c r="N20" s="6">
        <v>0</v>
      </c>
      <c r="O20" s="6">
        <v>0</v>
      </c>
      <c r="P20" s="6">
        <f>ROUND((Table2[[#This Row],[2023-24 CDS Payment]]-Table2[[#This Row],[TO/FROM cds]]),0)</f>
        <v>0</v>
      </c>
      <c r="Q20" s="6"/>
      <c r="R20" s="6">
        <v>0</v>
      </c>
      <c r="S20" s="6"/>
      <c r="T20" s="6">
        <f>ROUND(SUM(Table2[[#This Row],[EX CARRYOVER PRIOR TO ADJUSTMENT]],Table2[[#This Row],[2023-24 EX Allocation]])-Table2[[#This Row],[EX Repurposed]],0)</f>
        <v>0</v>
      </c>
      <c r="U20" s="6">
        <v>80251634</v>
      </c>
      <c r="V20" s="6">
        <v>6073</v>
      </c>
      <c r="W20" s="6">
        <v>44328</v>
      </c>
      <c r="X20" s="6">
        <v>358000</v>
      </c>
      <c r="Y20" s="6">
        <v>0</v>
      </c>
      <c r="Z20" s="6">
        <f>ROUND(IF(Table2[[#This Row],[2023-24 BCTEA Approved]]-Table2[[#This Row],[2022-23 BCTEA To/from Carryover]]-Table2[[#This Row],[ex Repurposed to TO/FROM]]&gt;0,Table2[[#This Row],[2023-24 BCTEA Approved]]-Table2[[#This Row],[2022-23 BCTEA To/from Carryover]]-Table2[[#This Row],[ex Repurposed to TO/FROM]], "$0"),0)</f>
        <v>0</v>
      </c>
      <c r="AB20" s="6">
        <v>1</v>
      </c>
      <c r="AC20" s="6">
        <v>6</v>
      </c>
      <c r="AD20" s="6">
        <v>48</v>
      </c>
      <c r="AE20" s="6">
        <v>55</v>
      </c>
    </row>
    <row r="21" spans="1:31" x14ac:dyDescent="0.3">
      <c r="A21">
        <v>41</v>
      </c>
      <c r="B21" t="s">
        <v>8</v>
      </c>
      <c r="C21">
        <v>24923.625</v>
      </c>
      <c r="D21">
        <v>130</v>
      </c>
      <c r="E21">
        <v>0</v>
      </c>
      <c r="F21">
        <v>0</v>
      </c>
      <c r="G21">
        <v>500</v>
      </c>
      <c r="H21" s="154">
        <v>1199285</v>
      </c>
      <c r="I21" s="154">
        <v>1298379</v>
      </c>
      <c r="J21" s="154"/>
      <c r="K21" s="6">
        <v>2768</v>
      </c>
      <c r="L21" s="6"/>
      <c r="M21" s="6">
        <v>0</v>
      </c>
      <c r="N21" s="6">
        <v>0</v>
      </c>
      <c r="O21" s="6">
        <v>0</v>
      </c>
      <c r="P21" s="6">
        <f>ROUND((Table2[[#This Row],[2023-24 CDS Payment]]-Table2[[#This Row],[TO/FROM cds]]),0)</f>
        <v>0</v>
      </c>
      <c r="Q21" s="6">
        <v>2768</v>
      </c>
      <c r="R21" s="6">
        <v>0</v>
      </c>
      <c r="S21" s="6"/>
      <c r="T21" s="6">
        <f>ROUND(SUM(Table2[[#This Row],[EX CARRYOVER PRIOR TO ADJUSTMENT]],Table2[[#This Row],[2023-24 EX Allocation]])-Table2[[#This Row],[EX Repurposed]],0)</f>
        <v>2768</v>
      </c>
      <c r="U21" s="6">
        <v>278929511</v>
      </c>
      <c r="V21" s="6">
        <v>24841</v>
      </c>
      <c r="W21" s="6">
        <v>163976</v>
      </c>
      <c r="X21" s="6">
        <v>1389000</v>
      </c>
      <c r="Y21" s="6">
        <v>0</v>
      </c>
      <c r="Z21" s="6">
        <f>ROUND(IF(Table2[[#This Row],[2023-24 BCTEA Approved]]-Table2[[#This Row],[2022-23 BCTEA To/from Carryover]]-Table2[[#This Row],[ex Repurposed to TO/FROM]]&gt;0,Table2[[#This Row],[2023-24 BCTEA Approved]]-Table2[[#This Row],[2022-23 BCTEA To/from Carryover]]-Table2[[#This Row],[ex Repurposed to TO/FROM]], "$0"),0)</f>
        <v>0</v>
      </c>
      <c r="AA21" s="158">
        <v>4</v>
      </c>
      <c r="AB21" s="6">
        <v>1</v>
      </c>
      <c r="AC21" s="6">
        <v>6</v>
      </c>
      <c r="AD21" s="6">
        <v>53</v>
      </c>
      <c r="AE21" s="6">
        <v>60</v>
      </c>
    </row>
    <row r="22" spans="1:31" x14ac:dyDescent="0.3">
      <c r="A22">
        <v>42</v>
      </c>
      <c r="B22" t="s">
        <v>297</v>
      </c>
      <c r="C22">
        <v>15896.5</v>
      </c>
      <c r="D22">
        <v>332</v>
      </c>
      <c r="E22">
        <v>32</v>
      </c>
      <c r="F22">
        <v>0</v>
      </c>
      <c r="G22">
        <v>13723</v>
      </c>
      <c r="H22" s="154">
        <v>570709</v>
      </c>
      <c r="I22" s="154">
        <v>630302</v>
      </c>
      <c r="J22" s="154">
        <v>0</v>
      </c>
      <c r="K22" s="6">
        <v>18794</v>
      </c>
      <c r="L22" s="6"/>
      <c r="M22" s="6">
        <v>75561</v>
      </c>
      <c r="N22" s="6">
        <v>6749</v>
      </c>
      <c r="O22" s="6">
        <v>72190</v>
      </c>
      <c r="P22" s="6">
        <f>ROUND((Table2[[#This Row],[2023-24 CDS Payment]]-Table2[[#This Row],[TO/FROM cds]]),0)</f>
        <v>6749</v>
      </c>
      <c r="Q22" s="6">
        <v>28914</v>
      </c>
      <c r="R22" s="6">
        <v>10120</v>
      </c>
      <c r="S22" s="6"/>
      <c r="T22" s="6">
        <f>ROUND(SUM(Table2[[#This Row],[EX CARRYOVER PRIOR TO ADJUSTMENT]],Table2[[#This Row],[2023-24 EX Allocation]])-Table2[[#This Row],[EX Repurposed]],0)</f>
        <v>25543</v>
      </c>
      <c r="U22" s="6">
        <v>180779563</v>
      </c>
      <c r="V22" s="6">
        <v>185990</v>
      </c>
      <c r="W22" s="6">
        <v>1274548</v>
      </c>
      <c r="X22" s="6">
        <v>1024000</v>
      </c>
      <c r="Y22" s="6">
        <v>10120</v>
      </c>
      <c r="Z22" s="6">
        <f>ROUND(IF(Table2[[#This Row],[2023-24 BCTEA Approved]]-Table2[[#This Row],[2022-23 BCTEA To/from Carryover]]-Table2[[#This Row],[ex Repurposed to TO/FROM]]&gt;0,Table2[[#This Row],[2023-24 BCTEA Approved]]-Table2[[#This Row],[2022-23 BCTEA To/from Carryover]]-Table2[[#This Row],[ex Repurposed to TO/FROM]], "$0"),0)</f>
        <v>65441</v>
      </c>
      <c r="AA22" s="158">
        <v>45</v>
      </c>
      <c r="AB22" s="6">
        <v>11</v>
      </c>
      <c r="AC22" s="6">
        <v>78</v>
      </c>
      <c r="AD22" s="6">
        <v>63</v>
      </c>
      <c r="AE22" s="6">
        <v>152</v>
      </c>
    </row>
    <row r="23" spans="1:31" x14ac:dyDescent="0.3">
      <c r="A23">
        <v>43</v>
      </c>
      <c r="B23" t="s">
        <v>296</v>
      </c>
      <c r="C23">
        <v>31574</v>
      </c>
      <c r="D23">
        <v>133</v>
      </c>
      <c r="E23">
        <v>13</v>
      </c>
      <c r="F23">
        <v>0</v>
      </c>
      <c r="G23">
        <v>1056</v>
      </c>
      <c r="H23" s="154">
        <v>694455</v>
      </c>
      <c r="I23" s="154">
        <v>686700</v>
      </c>
      <c r="J23" s="154">
        <v>0</v>
      </c>
      <c r="K23" s="6">
        <v>2173</v>
      </c>
      <c r="L23" s="6"/>
      <c r="M23" s="6">
        <v>64636</v>
      </c>
      <c r="N23" s="6">
        <v>1650</v>
      </c>
      <c r="O23" s="6">
        <v>66286</v>
      </c>
      <c r="P23" s="6">
        <f>ROUND((Table2[[#This Row],[2023-24 CDS Payment]]-Table2[[#This Row],[TO/FROM cds]]),0)</f>
        <v>1650</v>
      </c>
      <c r="Q23" s="6">
        <v>2173</v>
      </c>
      <c r="R23" s="6">
        <v>0</v>
      </c>
      <c r="S23" s="6"/>
      <c r="T23" s="6">
        <f>ROUND(SUM(Table2[[#This Row],[EX CARRYOVER PRIOR TO ADJUSTMENT]],Table2[[#This Row],[2023-24 EX Allocation]])-Table2[[#This Row],[EX Repurposed]],0)</f>
        <v>3823</v>
      </c>
      <c r="U23" s="6">
        <v>345788489</v>
      </c>
      <c r="V23" s="6">
        <v>81641</v>
      </c>
      <c r="W23" s="6">
        <v>514901</v>
      </c>
      <c r="X23" s="6">
        <v>1586000</v>
      </c>
      <c r="Y23" s="6">
        <v>0</v>
      </c>
      <c r="Z23" s="6">
        <f>ROUND(IF(Table2[[#This Row],[2023-24 BCTEA Approved]]-Table2[[#This Row],[2022-23 BCTEA To/from Carryover]]-Table2[[#This Row],[ex Repurposed to TO/FROM]]&gt;0,Table2[[#This Row],[2023-24 BCTEA Approved]]-Table2[[#This Row],[2022-23 BCTEA To/from Carryover]]-Table2[[#This Row],[ex Repurposed to TO/FROM]], "$0"),0)</f>
        <v>64636</v>
      </c>
      <c r="AA23" s="158">
        <v>11</v>
      </c>
      <c r="AB23" s="6">
        <v>3</v>
      </c>
      <c r="AC23" s="6">
        <v>16</v>
      </c>
      <c r="AD23" s="6">
        <v>49</v>
      </c>
      <c r="AE23" s="6">
        <v>68</v>
      </c>
    </row>
    <row r="24" spans="1:31" x14ac:dyDescent="0.3">
      <c r="A24">
        <v>44</v>
      </c>
      <c r="B24" t="s">
        <v>295</v>
      </c>
      <c r="C24">
        <v>15794</v>
      </c>
      <c r="D24">
        <v>228</v>
      </c>
      <c r="E24">
        <v>184</v>
      </c>
      <c r="F24">
        <v>0</v>
      </c>
      <c r="G24">
        <v>13608</v>
      </c>
      <c r="H24" s="154">
        <v>489829</v>
      </c>
      <c r="I24" s="154">
        <v>611840</v>
      </c>
      <c r="J24" s="154">
        <v>0</v>
      </c>
      <c r="K24" s="6">
        <v>39957</v>
      </c>
      <c r="L24" s="6"/>
      <c r="M24" s="6">
        <v>185951</v>
      </c>
      <c r="N24" s="6">
        <v>25945</v>
      </c>
      <c r="O24" s="6">
        <v>211896</v>
      </c>
      <c r="P24" s="6">
        <f>ROUND((Table2[[#This Row],[2023-24 CDS Payment]]-Table2[[#This Row],[TO/FROM cds]]),0)</f>
        <v>25945</v>
      </c>
      <c r="Q24" s="6">
        <v>39957</v>
      </c>
      <c r="R24" s="6">
        <v>0</v>
      </c>
      <c r="S24" s="6"/>
      <c r="T24" s="6">
        <f>ROUND(SUM(Table2[[#This Row],[EX CARRYOVER PRIOR TO ADJUSTMENT]],Table2[[#This Row],[2023-24 EX Allocation]])-Table2[[#This Row],[EX Repurposed]],0)</f>
        <v>65902</v>
      </c>
      <c r="U24" s="6">
        <v>168815264</v>
      </c>
      <c r="V24" s="6">
        <v>40566</v>
      </c>
      <c r="W24" s="6">
        <v>255723</v>
      </c>
      <c r="X24" s="6">
        <v>719000</v>
      </c>
      <c r="Y24" s="6">
        <v>0</v>
      </c>
      <c r="Z24" s="6">
        <f>ROUND(IF(Table2[[#This Row],[2023-24 BCTEA Approved]]-Table2[[#This Row],[2022-23 BCTEA To/from Carryover]]-Table2[[#This Row],[ex Repurposed to TO/FROM]]&gt;0,Table2[[#This Row],[2023-24 BCTEA Approved]]-Table2[[#This Row],[2022-23 BCTEA To/from Carryover]]-Table2[[#This Row],[ex Repurposed to TO/FROM]], "$0"),0)</f>
        <v>185951</v>
      </c>
      <c r="AA24" s="158">
        <v>173</v>
      </c>
      <c r="AB24" s="6">
        <v>3</v>
      </c>
      <c r="AC24" s="6">
        <v>16</v>
      </c>
      <c r="AD24" s="6">
        <v>44</v>
      </c>
      <c r="AE24" s="6">
        <v>63</v>
      </c>
    </row>
    <row r="25" spans="1:31" x14ac:dyDescent="0.3">
      <c r="A25">
        <v>45</v>
      </c>
      <c r="B25" t="s">
        <v>294</v>
      </c>
      <c r="C25">
        <v>6852</v>
      </c>
      <c r="D25">
        <v>541</v>
      </c>
      <c r="E25">
        <v>24</v>
      </c>
      <c r="F25">
        <v>309</v>
      </c>
      <c r="G25">
        <v>17195</v>
      </c>
      <c r="H25" s="154">
        <v>593114</v>
      </c>
      <c r="I25" s="154">
        <v>615245</v>
      </c>
      <c r="J25" s="154"/>
      <c r="K25" s="6">
        <v>6479</v>
      </c>
      <c r="L25" s="6"/>
      <c r="M25" s="6">
        <v>7449</v>
      </c>
      <c r="N25" s="6">
        <v>2999</v>
      </c>
      <c r="O25" s="6">
        <v>10448</v>
      </c>
      <c r="P25" s="6">
        <f>ROUND((Table2[[#This Row],[2023-24 CDS Payment]]-Table2[[#This Row],[TO/FROM cds]]),0)</f>
        <v>2999</v>
      </c>
      <c r="Q25" s="6">
        <v>6479</v>
      </c>
      <c r="R25" s="6">
        <v>0</v>
      </c>
      <c r="S25" s="6"/>
      <c r="T25" s="6">
        <f>ROUND(SUM(Table2[[#This Row],[EX CARRYOVER PRIOR TO ADJUSTMENT]],Table2[[#This Row],[2023-24 EX Allocation]])-Table2[[#This Row],[EX Repurposed]],0)</f>
        <v>9478</v>
      </c>
      <c r="U25" s="6">
        <v>75007356</v>
      </c>
      <c r="V25" s="6">
        <v>84722</v>
      </c>
      <c r="W25" s="6">
        <v>441143</v>
      </c>
      <c r="X25" s="6">
        <v>262000</v>
      </c>
      <c r="Y25" s="6">
        <v>0</v>
      </c>
      <c r="Z25" s="6">
        <f>ROUND(IF(Table2[[#This Row],[2023-24 BCTEA Approved]]-Table2[[#This Row],[2022-23 BCTEA To/from Carryover]]-Table2[[#This Row],[ex Repurposed to TO/FROM]]&gt;0,Table2[[#This Row],[2023-24 BCTEA Approved]]-Table2[[#This Row],[2022-23 BCTEA To/from Carryover]]-Table2[[#This Row],[ex Repurposed to TO/FROM]], "$0"),0)</f>
        <v>7449</v>
      </c>
      <c r="AA25" s="158">
        <v>20</v>
      </c>
      <c r="AB25" s="6">
        <v>12</v>
      </c>
      <c r="AC25" s="6">
        <v>62</v>
      </c>
      <c r="AD25" s="6">
        <v>37</v>
      </c>
      <c r="AE25" s="6">
        <v>111</v>
      </c>
    </row>
    <row r="26" spans="1:31" x14ac:dyDescent="0.3">
      <c r="A26">
        <v>46</v>
      </c>
      <c r="B26" t="s">
        <v>293</v>
      </c>
      <c r="H26" s="154">
        <v>1570461</v>
      </c>
      <c r="I26" s="154">
        <v>1770967</v>
      </c>
      <c r="J26" s="154"/>
      <c r="K26" s="6"/>
      <c r="L26" s="6"/>
      <c r="M26" s="6">
        <v>0</v>
      </c>
      <c r="N26" s="6">
        <v>0</v>
      </c>
      <c r="O26" s="6">
        <v>0</v>
      </c>
      <c r="P26" s="6">
        <f>ROUND((Table2[[#This Row],[2023-24 CDS Payment]]-Table2[[#This Row],[TO/FROM cds]]),0)</f>
        <v>0</v>
      </c>
      <c r="Q26" s="6"/>
      <c r="R26" s="6">
        <v>0</v>
      </c>
      <c r="S26" s="6"/>
      <c r="T26" s="6">
        <f>ROUND(SUM(Table2[[#This Row],[EX CARRYOVER PRIOR TO ADJUSTMENT]],Table2[[#This Row],[2023-24 EX Allocation]])-Table2[[#This Row],[EX Repurposed]],0)</f>
        <v>0</v>
      </c>
      <c r="U26" s="6">
        <v>48684895</v>
      </c>
      <c r="V26" s="6">
        <v>380465</v>
      </c>
      <c r="W26" s="6">
        <v>3189675</v>
      </c>
      <c r="X26" s="6">
        <v>295000</v>
      </c>
      <c r="Y26" s="6">
        <v>0</v>
      </c>
      <c r="Z26" s="6">
        <f>ROUND(IF(Table2[[#This Row],[2023-24 BCTEA Approved]]-Table2[[#This Row],[2022-23 BCTEA To/from Carryover]]-Table2[[#This Row],[ex Repurposed to TO/FROM]]&gt;0,Table2[[#This Row],[2023-24 BCTEA Approved]]-Table2[[#This Row],[2022-23 BCTEA To/from Carryover]]-Table2[[#This Row],[ex Repurposed to TO/FROM]], "$0"),0)</f>
        <v>0</v>
      </c>
      <c r="AB26" s="6">
        <v>110</v>
      </c>
      <c r="AC26" s="6">
        <v>919</v>
      </c>
      <c r="AD26" s="6">
        <v>85</v>
      </c>
      <c r="AE26" s="6">
        <v>1114</v>
      </c>
    </row>
    <row r="27" spans="1:31" x14ac:dyDescent="0.3">
      <c r="A27">
        <v>47</v>
      </c>
      <c r="B27" t="s">
        <v>292</v>
      </c>
      <c r="H27" s="154">
        <v>1241946</v>
      </c>
      <c r="I27" s="154">
        <v>1161560</v>
      </c>
      <c r="J27" s="154"/>
      <c r="K27" s="6"/>
      <c r="L27" s="6"/>
      <c r="M27" s="6">
        <v>0</v>
      </c>
      <c r="N27" s="6">
        <v>0</v>
      </c>
      <c r="O27" s="6">
        <v>0</v>
      </c>
      <c r="P27" s="6">
        <f>ROUND((Table2[[#This Row],[2023-24 CDS Payment]]-Table2[[#This Row],[TO/FROM cds]]),0)</f>
        <v>0</v>
      </c>
      <c r="Q27" s="6"/>
      <c r="R27" s="6">
        <v>0</v>
      </c>
      <c r="S27" s="6"/>
      <c r="T27" s="6">
        <f>ROUND(SUM(Table2[[#This Row],[EX CARRYOVER PRIOR TO ADJUSTMENT]],Table2[[#This Row],[2023-24 EX Allocation]])-Table2[[#This Row],[EX Repurposed]],0)</f>
        <v>0</v>
      </c>
      <c r="U27" s="6">
        <v>39557631</v>
      </c>
      <c r="V27" s="6">
        <v>91754</v>
      </c>
      <c r="W27" s="6">
        <v>920195</v>
      </c>
      <c r="X27" s="6">
        <v>350000</v>
      </c>
      <c r="Y27" s="6">
        <v>0</v>
      </c>
      <c r="Z27" s="6">
        <f>ROUND(IF(Table2[[#This Row],[2023-24 BCTEA Approved]]-Table2[[#This Row],[2022-23 BCTEA To/from Carryover]]-Table2[[#This Row],[ex Repurposed to TO/FROM]]&gt;0,Table2[[#This Row],[2023-24 BCTEA Approved]]-Table2[[#This Row],[2022-23 BCTEA To/from Carryover]]-Table2[[#This Row],[ex Repurposed to TO/FROM]], "$0"),0)</f>
        <v>0</v>
      </c>
      <c r="AB27" s="6">
        <v>30</v>
      </c>
      <c r="AC27" s="6">
        <v>303</v>
      </c>
      <c r="AD27" s="6">
        <v>115</v>
      </c>
      <c r="AE27" s="6">
        <v>448</v>
      </c>
    </row>
    <row r="28" spans="1:31" x14ac:dyDescent="0.3">
      <c r="A28">
        <v>48</v>
      </c>
      <c r="B28" t="s">
        <v>352</v>
      </c>
      <c r="C28">
        <v>5186</v>
      </c>
      <c r="D28">
        <v>2143</v>
      </c>
      <c r="E28">
        <v>200</v>
      </c>
      <c r="F28">
        <v>2780.8988764044943</v>
      </c>
      <c r="G28">
        <v>247659</v>
      </c>
      <c r="H28" s="154">
        <v>1131439</v>
      </c>
      <c r="I28" s="154">
        <v>1484690</v>
      </c>
      <c r="J28" s="154">
        <v>0</v>
      </c>
      <c r="K28" s="6">
        <v>0</v>
      </c>
      <c r="L28" s="6"/>
      <c r="M28" s="6">
        <v>214700</v>
      </c>
      <c r="N28" s="6">
        <v>27894</v>
      </c>
      <c r="O28" s="6">
        <v>242594</v>
      </c>
      <c r="P28" s="6">
        <f>ROUND((Table2[[#This Row],[2023-24 CDS Payment]]-Table2[[#This Row],[TO/FROM cds]]),0)</f>
        <v>27894</v>
      </c>
      <c r="Q28" s="6">
        <v>0</v>
      </c>
      <c r="R28" s="6">
        <v>0</v>
      </c>
      <c r="S28" s="6"/>
      <c r="T28" s="6">
        <f>ROUND(SUM(Table2[[#This Row],[EX CARRYOVER PRIOR TO ADJUSTMENT]],Table2[[#This Row],[2023-24 EX Allocation]])-Table2[[#This Row],[EX Repurposed]],0)</f>
        <v>27894</v>
      </c>
      <c r="U28" s="6">
        <v>61914008</v>
      </c>
      <c r="V28" s="6">
        <v>265534</v>
      </c>
      <c r="W28" s="6">
        <v>1941888</v>
      </c>
      <c r="X28" s="6">
        <v>219000</v>
      </c>
      <c r="Y28" s="6">
        <v>0</v>
      </c>
      <c r="Z28" s="6">
        <f>ROUND(IF(Table2[[#This Row],[2023-24 BCTEA Approved]]-Table2[[#This Row],[2022-23 BCTEA To/from Carryover]]-Table2[[#This Row],[ex Repurposed to TO/FROM]]&gt;0,Table2[[#This Row],[2023-24 BCTEA Approved]]-Table2[[#This Row],[2022-23 BCTEA To/from Carryover]]-Table2[[#This Row],[ex Repurposed to TO/FROM]], "$0"),0)</f>
        <v>214700</v>
      </c>
      <c r="AA28" s="158">
        <v>186</v>
      </c>
      <c r="AB28" s="6">
        <v>50</v>
      </c>
      <c r="AC28" s="6">
        <v>367</v>
      </c>
      <c r="AD28" s="6">
        <v>41</v>
      </c>
      <c r="AE28" s="6">
        <v>458</v>
      </c>
    </row>
    <row r="29" spans="1:31" x14ac:dyDescent="0.3">
      <c r="A29">
        <v>49</v>
      </c>
      <c r="B29" t="s">
        <v>291</v>
      </c>
      <c r="C29">
        <v>206</v>
      </c>
      <c r="D29">
        <v>206</v>
      </c>
      <c r="E29">
        <v>124</v>
      </c>
      <c r="F29">
        <v>0</v>
      </c>
      <c r="G29">
        <v>219995</v>
      </c>
      <c r="H29" s="154">
        <v>338363</v>
      </c>
      <c r="I29" s="154">
        <v>350038</v>
      </c>
      <c r="J29" s="154">
        <v>0</v>
      </c>
      <c r="K29" s="6">
        <v>11625</v>
      </c>
      <c r="L29" s="6"/>
      <c r="M29" s="6">
        <v>0</v>
      </c>
      <c r="N29" s="6">
        <v>15597</v>
      </c>
      <c r="O29" s="6">
        <v>15597</v>
      </c>
      <c r="P29" s="6">
        <f>ROUND((Table2[[#This Row],[2023-24 CDS Payment]]-Table2[[#This Row],[TO/FROM cds]]),0)</f>
        <v>15597</v>
      </c>
      <c r="Q29" s="6">
        <v>11625</v>
      </c>
      <c r="R29" s="6">
        <v>0</v>
      </c>
      <c r="S29" s="6"/>
      <c r="T29" s="6">
        <f>ROUND(SUM(Table2[[#This Row],[EX CARRYOVER PRIOR TO ADJUSTMENT]],Table2[[#This Row],[2023-24 EX Allocation]])-Table2[[#This Row],[EX Repurposed]],0)</f>
        <v>27222</v>
      </c>
      <c r="U29" s="6">
        <v>7307171</v>
      </c>
      <c r="V29" s="6">
        <v>80277</v>
      </c>
      <c r="W29" s="6">
        <v>500178</v>
      </c>
      <c r="X29" s="6">
        <v>13000</v>
      </c>
      <c r="Y29" s="6">
        <v>0</v>
      </c>
      <c r="Z29" s="6">
        <f>ROUND(IF(Table2[[#This Row],[2023-24 BCTEA Approved]]-Table2[[#This Row],[2022-23 BCTEA To/from Carryover]]-Table2[[#This Row],[ex Repurposed to TO/FROM]]&gt;0,Table2[[#This Row],[2023-24 BCTEA Approved]]-Table2[[#This Row],[2022-23 BCTEA To/from Carryover]]-Table2[[#This Row],[ex Repurposed to TO/FROM]], "$0"),0)</f>
        <v>0</v>
      </c>
      <c r="AA29" s="158">
        <v>104</v>
      </c>
      <c r="AB29" s="6">
        <v>359</v>
      </c>
      <c r="AC29" s="6">
        <v>2238</v>
      </c>
      <c r="AD29" s="6">
        <v>58</v>
      </c>
      <c r="AE29" s="6">
        <v>2655</v>
      </c>
    </row>
    <row r="30" spans="1:31" x14ac:dyDescent="0.3">
      <c r="A30">
        <v>50</v>
      </c>
      <c r="B30" t="s">
        <v>290</v>
      </c>
      <c r="C30">
        <v>462.125</v>
      </c>
      <c r="D30">
        <v>233</v>
      </c>
      <c r="E30">
        <v>150</v>
      </c>
      <c r="F30">
        <v>446</v>
      </c>
      <c r="G30">
        <v>335612</v>
      </c>
      <c r="H30" s="154">
        <v>299372</v>
      </c>
      <c r="I30" s="154">
        <v>375165</v>
      </c>
      <c r="J30" s="154">
        <v>4571.8500000000004</v>
      </c>
      <c r="K30" s="6">
        <v>53382</v>
      </c>
      <c r="L30" s="6">
        <v>37500</v>
      </c>
      <c r="M30" s="6">
        <v>50000</v>
      </c>
      <c r="N30" s="6">
        <v>23095</v>
      </c>
      <c r="O30" s="6">
        <v>39779</v>
      </c>
      <c r="P30" s="6">
        <f>ROUND((Table2[[#This Row],[2023-24 CDS Payment]]-Table2[[#This Row],[TO/FROM cds]]),0)</f>
        <v>23095</v>
      </c>
      <c r="Q30" s="6">
        <v>82125.98</v>
      </c>
      <c r="R30" s="6">
        <v>28744</v>
      </c>
      <c r="S30" s="6"/>
      <c r="T30" s="6">
        <f>ROUND(SUM(Table2[[#This Row],[EX CARRYOVER PRIOR TO ADJUSTMENT]],Table2[[#This Row],[2023-24 EX Allocation]])-Table2[[#This Row],[EX Repurposed]],0)</f>
        <v>76477</v>
      </c>
      <c r="U30" s="6">
        <v>11573063</v>
      </c>
      <c r="V30" s="6">
        <v>149851</v>
      </c>
      <c r="W30" s="6">
        <v>826902</v>
      </c>
      <c r="X30" s="6">
        <v>32000</v>
      </c>
      <c r="Y30" s="6">
        <v>28744</v>
      </c>
      <c r="Z30" s="6">
        <f>ROUND(IF(Table2[[#This Row],[2023-24 BCTEA Approved]]-Table2[[#This Row],[2022-23 BCTEA To/from Carryover]]-Table2[[#This Row],[ex Repurposed to TO/FROM]]&gt;0,Table2[[#This Row],[2023-24 BCTEA Approved]]-Table2[[#This Row],[2022-23 BCTEA To/from Carryover]]-Table2[[#This Row],[ex Repurposed to TO/FROM]], "$0"),0)</f>
        <v>16684</v>
      </c>
      <c r="AA30" s="158">
        <v>154</v>
      </c>
      <c r="AB30" s="6">
        <v>315</v>
      </c>
      <c r="AC30" s="6">
        <v>1736</v>
      </c>
      <c r="AD30" s="6">
        <v>67</v>
      </c>
      <c r="AE30" s="6">
        <v>2118</v>
      </c>
    </row>
    <row r="31" spans="1:31" x14ac:dyDescent="0.3">
      <c r="A31">
        <v>51</v>
      </c>
      <c r="B31" t="s">
        <v>9</v>
      </c>
      <c r="H31" s="154">
        <v>735500</v>
      </c>
      <c r="I31" s="154">
        <v>765416</v>
      </c>
      <c r="J31" s="154"/>
      <c r="K31" s="6"/>
      <c r="L31" s="6"/>
      <c r="M31" s="6"/>
      <c r="N31" s="6">
        <v>0</v>
      </c>
      <c r="O31" s="6">
        <v>0</v>
      </c>
      <c r="P31" s="6">
        <f>ROUND((Table2[[#This Row],[2023-24 CDS Payment]]-Table2[[#This Row],[TO/FROM cds]]),0)</f>
        <v>0</v>
      </c>
      <c r="Q31" s="6"/>
      <c r="R31" s="6">
        <v>0</v>
      </c>
      <c r="S31" s="6"/>
      <c r="T31" s="6">
        <f>ROUND(SUM(Table2[[#This Row],[EX CARRYOVER PRIOR TO ADJUSTMENT]],Table2[[#This Row],[2023-24 EX Allocation]])-Table2[[#This Row],[EX Repurposed]],0)</f>
        <v>0</v>
      </c>
      <c r="U31" s="6">
        <v>20326253</v>
      </c>
      <c r="V31" s="6">
        <v>153588</v>
      </c>
      <c r="W31" s="6">
        <v>922319</v>
      </c>
      <c r="X31" s="6">
        <v>85000</v>
      </c>
      <c r="Y31" s="6">
        <v>0</v>
      </c>
      <c r="Z31" s="6">
        <f>ROUND(IF(Table2[[#This Row],[2023-24 BCTEA Approved]]-Table2[[#This Row],[2022-23 BCTEA To/from Carryover]]-Table2[[#This Row],[ex Repurposed to TO/FROM]]&gt;0,Table2[[#This Row],[2023-24 BCTEA Approved]]-Table2[[#This Row],[2022-23 BCTEA To/from Carryover]]-Table2[[#This Row],[ex Repurposed to TO/FROM]], "$0"),0)</f>
        <v>0</v>
      </c>
      <c r="AB31" s="6">
        <v>117</v>
      </c>
      <c r="AC31" s="6">
        <v>703</v>
      </c>
      <c r="AD31" s="6">
        <v>65</v>
      </c>
      <c r="AE31" s="6">
        <v>885</v>
      </c>
    </row>
    <row r="32" spans="1:31" x14ac:dyDescent="0.3">
      <c r="A32">
        <v>52</v>
      </c>
      <c r="B32" t="s">
        <v>289</v>
      </c>
      <c r="C32">
        <v>1822</v>
      </c>
      <c r="D32">
        <v>60</v>
      </c>
      <c r="E32">
        <v>32</v>
      </c>
      <c r="F32">
        <v>35</v>
      </c>
      <c r="G32">
        <v>12663</v>
      </c>
      <c r="H32" s="154">
        <v>322493</v>
      </c>
      <c r="I32" s="154">
        <v>355353</v>
      </c>
      <c r="J32" s="154">
        <v>88861</v>
      </c>
      <c r="K32" s="6">
        <v>0</v>
      </c>
      <c r="L32" s="6"/>
      <c r="M32" s="6">
        <v>259033</v>
      </c>
      <c r="N32" s="6">
        <v>4049</v>
      </c>
      <c r="O32" s="6">
        <v>74998</v>
      </c>
      <c r="P32" s="6">
        <f>ROUND((Table2[[#This Row],[2023-24 CDS Payment]]-Table2[[#This Row],[TO/FROM cds]]),0)</f>
        <v>-95174</v>
      </c>
      <c r="Q32" s="6">
        <v>0</v>
      </c>
      <c r="R32" s="6">
        <v>0</v>
      </c>
      <c r="S32" s="6"/>
      <c r="T32" s="6">
        <f>ROUND(SUM(Table2[[#This Row],[EX CARRYOVER PRIOR TO ADJUSTMENT]],Table2[[#This Row],[2023-24 EX Allocation]])-Table2[[#This Row],[EX Repurposed]],0)</f>
        <v>4049</v>
      </c>
      <c r="U32" s="6">
        <v>26193774</v>
      </c>
      <c r="V32" s="6">
        <v>117597</v>
      </c>
      <c r="W32" s="6">
        <v>642724</v>
      </c>
      <c r="X32" s="6">
        <v>123000</v>
      </c>
      <c r="Y32" s="6">
        <v>0</v>
      </c>
      <c r="Z32" s="6">
        <f>ROUND(IF(Table2[[#This Row],[2023-24 BCTEA Approved]]-Table2[[#This Row],[2022-23 BCTEA To/from Carryover]]-Table2[[#This Row],[ex Repurposed to TO/FROM]]&gt;0,Table2[[#This Row],[2023-24 BCTEA Approved]]-Table2[[#This Row],[2022-23 BCTEA To/from Carryover]]-Table2[[#This Row],[ex Repurposed to TO/FROM]], "$0"),0)</f>
        <v>170172</v>
      </c>
      <c r="AA32" s="158">
        <v>27</v>
      </c>
      <c r="AB32" s="6">
        <v>64</v>
      </c>
      <c r="AC32" s="6">
        <v>351</v>
      </c>
      <c r="AD32" s="6">
        <v>67</v>
      </c>
      <c r="AE32" s="6">
        <v>482</v>
      </c>
    </row>
    <row r="33" spans="1:31" x14ac:dyDescent="0.3">
      <c r="A33">
        <v>53</v>
      </c>
      <c r="B33" t="s">
        <v>288</v>
      </c>
      <c r="C33">
        <v>2313</v>
      </c>
      <c r="D33">
        <v>776</v>
      </c>
      <c r="E33">
        <v>121</v>
      </c>
      <c r="F33">
        <v>1752</v>
      </c>
      <c r="G33">
        <v>163902</v>
      </c>
      <c r="H33" s="154">
        <v>1084460</v>
      </c>
      <c r="I33" s="154">
        <v>1016686</v>
      </c>
      <c r="J33" s="154">
        <v>0</v>
      </c>
      <c r="K33" s="6">
        <v>33569</v>
      </c>
      <c r="L33" s="6"/>
      <c r="M33" s="6">
        <v>54425</v>
      </c>
      <c r="N33" s="6">
        <v>17397</v>
      </c>
      <c r="O33" s="6">
        <v>57435</v>
      </c>
      <c r="P33" s="6">
        <f>ROUND((Table2[[#This Row],[2023-24 CDS Payment]]-Table2[[#This Row],[TO/FROM cds]]),0)</f>
        <v>17397</v>
      </c>
      <c r="Q33" s="6">
        <v>47956</v>
      </c>
      <c r="R33" s="6">
        <v>14387</v>
      </c>
      <c r="S33" s="6"/>
      <c r="T33" s="6">
        <f>ROUND(SUM(Table2[[#This Row],[EX CARRYOVER PRIOR TO ADJUSTMENT]],Table2[[#This Row],[2023-24 EX Allocation]])-Table2[[#This Row],[EX Repurposed]],0)</f>
        <v>50966</v>
      </c>
      <c r="U33" s="6">
        <v>33618466</v>
      </c>
      <c r="V33" s="6">
        <v>209099</v>
      </c>
      <c r="W33" s="6">
        <v>1346567</v>
      </c>
      <c r="X33" s="6">
        <v>201000</v>
      </c>
      <c r="Y33" s="6">
        <v>14387</v>
      </c>
      <c r="Z33" s="6">
        <f>ROUND(IF(Table2[[#This Row],[2023-24 BCTEA Approved]]-Table2[[#This Row],[2022-23 BCTEA To/from Carryover]]-Table2[[#This Row],[ex Repurposed to TO/FROM]]&gt;0,Table2[[#This Row],[2023-24 BCTEA Approved]]-Table2[[#This Row],[2022-23 BCTEA To/from Carryover]]-Table2[[#This Row],[ex Repurposed to TO/FROM]], "$0"),0)</f>
        <v>40038</v>
      </c>
      <c r="AA33" s="158">
        <v>116</v>
      </c>
      <c r="AB33" s="6">
        <v>88</v>
      </c>
      <c r="AC33" s="6">
        <v>570</v>
      </c>
      <c r="AD33" s="6">
        <v>85</v>
      </c>
      <c r="AE33" s="6">
        <v>743</v>
      </c>
    </row>
    <row r="34" spans="1:31" x14ac:dyDescent="0.3">
      <c r="A34">
        <v>54</v>
      </c>
      <c r="B34" t="s">
        <v>287</v>
      </c>
      <c r="C34">
        <v>1938</v>
      </c>
      <c r="D34">
        <v>675</v>
      </c>
      <c r="E34">
        <v>63</v>
      </c>
      <c r="G34">
        <v>101148</v>
      </c>
      <c r="H34" s="154">
        <v>1012417</v>
      </c>
      <c r="I34" s="154">
        <v>1066642</v>
      </c>
      <c r="J34" s="154">
        <v>0</v>
      </c>
      <c r="K34" s="6">
        <v>0</v>
      </c>
      <c r="L34" s="6"/>
      <c r="M34" s="6">
        <v>85461</v>
      </c>
      <c r="N34" s="6">
        <v>11848</v>
      </c>
      <c r="O34" s="6">
        <v>97309</v>
      </c>
      <c r="P34" s="6">
        <f>ROUND((Table2[[#This Row],[2023-24 CDS Payment]]-Table2[[#This Row],[TO/FROM cds]]),0)</f>
        <v>11848</v>
      </c>
      <c r="Q34" s="6">
        <v>0</v>
      </c>
      <c r="R34" s="6">
        <v>0</v>
      </c>
      <c r="S34" s="6"/>
      <c r="T34" s="6">
        <f>ROUND(SUM(Table2[[#This Row],[EX CARRYOVER PRIOR TO ADJUSTMENT]],Table2[[#This Row],[2023-24 EX Allocation]])-Table2[[#This Row],[EX Repurposed]],0)</f>
        <v>11848</v>
      </c>
      <c r="U34" s="6">
        <v>25140793</v>
      </c>
      <c r="V34" s="6">
        <v>163737</v>
      </c>
      <c r="W34" s="6">
        <v>1051455</v>
      </c>
      <c r="X34" s="6">
        <v>109000</v>
      </c>
      <c r="Y34" s="6">
        <v>0</v>
      </c>
      <c r="Z34" s="6">
        <f>ROUND(IF(Table2[[#This Row],[2023-24 BCTEA Approved]]-Table2[[#This Row],[2022-23 BCTEA To/from Carryover]]-Table2[[#This Row],[ex Repurposed to TO/FROM]]&gt;0,Table2[[#This Row],[2023-24 BCTEA Approved]]-Table2[[#This Row],[2022-23 BCTEA To/from Carryover]]-Table2[[#This Row],[ex Repurposed to TO/FROM]], "$0"),0)</f>
        <v>85461</v>
      </c>
      <c r="AA34" s="158">
        <v>79</v>
      </c>
      <c r="AB34" s="6">
        <v>85</v>
      </c>
      <c r="AC34" s="6">
        <v>545</v>
      </c>
      <c r="AD34" s="6">
        <v>56</v>
      </c>
      <c r="AE34" s="6">
        <v>686</v>
      </c>
    </row>
    <row r="35" spans="1:31" x14ac:dyDescent="0.3">
      <c r="A35">
        <v>57</v>
      </c>
      <c r="B35" t="s">
        <v>286</v>
      </c>
      <c r="C35">
        <v>13050</v>
      </c>
      <c r="D35">
        <v>3293</v>
      </c>
      <c r="E35">
        <v>46</v>
      </c>
      <c r="F35">
        <v>8313</v>
      </c>
      <c r="G35">
        <v>89574</v>
      </c>
      <c r="H35" s="154">
        <v>4952921</v>
      </c>
      <c r="I35" s="154">
        <v>5528744</v>
      </c>
      <c r="J35" s="154">
        <v>271</v>
      </c>
      <c r="K35" s="6">
        <v>27555</v>
      </c>
      <c r="L35" s="6"/>
      <c r="M35" s="6">
        <v>147698</v>
      </c>
      <c r="N35" s="6">
        <v>10648</v>
      </c>
      <c r="O35" s="6">
        <v>143238</v>
      </c>
      <c r="P35" s="6">
        <f>ROUND((Table2[[#This Row],[2023-24 CDS Payment]]-Table2[[#This Row],[TO/FROM cds]]),0)</f>
        <v>10648</v>
      </c>
      <c r="Q35" s="6">
        <v>42392</v>
      </c>
      <c r="R35" s="6">
        <v>14837</v>
      </c>
      <c r="S35" s="6"/>
      <c r="T35" s="6">
        <f>ROUND(SUM(Table2[[#This Row],[EX CARRYOVER PRIOR TO ADJUSTMENT]],Table2[[#This Row],[2023-24 EX Allocation]])-Table2[[#This Row],[EX Repurposed]],0)</f>
        <v>38203</v>
      </c>
      <c r="U35" s="6">
        <v>162709197</v>
      </c>
      <c r="V35" s="6">
        <v>687663</v>
      </c>
      <c r="W35" s="6">
        <v>4165326</v>
      </c>
      <c r="X35" s="6">
        <v>856000</v>
      </c>
      <c r="Y35" s="6">
        <v>14837</v>
      </c>
      <c r="Z35" s="6">
        <f>ROUND(IF(Table2[[#This Row],[2023-24 BCTEA Approved]]-Table2[[#This Row],[2022-23 BCTEA To/from Carryover]]-Table2[[#This Row],[ex Repurposed to TO/FROM]]&gt;0,Table2[[#This Row],[2023-24 BCTEA Approved]]-Table2[[#This Row],[2022-23 BCTEA To/from Carryover]]-Table2[[#This Row],[ex Repurposed to TO/FROM]], "$0"),0)</f>
        <v>132590</v>
      </c>
      <c r="AA35" s="158">
        <v>71</v>
      </c>
      <c r="AB35" s="6">
        <v>52</v>
      </c>
      <c r="AC35" s="6">
        <v>316</v>
      </c>
      <c r="AD35" s="6">
        <v>65</v>
      </c>
      <c r="AE35" s="6">
        <v>433</v>
      </c>
    </row>
    <row r="36" spans="1:31" x14ac:dyDescent="0.3">
      <c r="A36">
        <v>58</v>
      </c>
      <c r="B36" t="s">
        <v>285</v>
      </c>
      <c r="C36">
        <v>2402</v>
      </c>
      <c r="D36">
        <v>682</v>
      </c>
      <c r="E36">
        <v>243</v>
      </c>
      <c r="F36">
        <v>420</v>
      </c>
      <c r="G36">
        <v>350228</v>
      </c>
      <c r="H36" s="154">
        <v>1052764</v>
      </c>
      <c r="I36" s="154">
        <v>1204695</v>
      </c>
      <c r="J36" s="154">
        <v>13588</v>
      </c>
      <c r="K36" s="6">
        <v>0</v>
      </c>
      <c r="L36" s="6">
        <v>5756</v>
      </c>
      <c r="M36" s="6">
        <v>73874</v>
      </c>
      <c r="N36" s="6">
        <v>34493</v>
      </c>
      <c r="O36" s="6">
        <v>89779</v>
      </c>
      <c r="P36" s="6">
        <f>ROUND((Table2[[#This Row],[2023-24 CDS Payment]]-Table2[[#This Row],[TO/FROM cds]]),0)</f>
        <v>29493</v>
      </c>
      <c r="Q36" s="6">
        <v>0</v>
      </c>
      <c r="R36" s="6">
        <v>0</v>
      </c>
      <c r="S36" s="6"/>
      <c r="T36" s="6">
        <f>ROUND(SUM(Table2[[#This Row],[EX CARRYOVER PRIOR TO ADJUSTMENT]],Table2[[#This Row],[2023-24 EX Allocation]])-Table2[[#This Row],[EX Repurposed]],0)</f>
        <v>34493</v>
      </c>
      <c r="U36" s="6">
        <v>26159985</v>
      </c>
      <c r="V36" s="6">
        <v>170292</v>
      </c>
      <c r="W36" s="6">
        <v>867188</v>
      </c>
      <c r="X36" s="6">
        <v>117000</v>
      </c>
      <c r="Y36" s="6">
        <v>0</v>
      </c>
      <c r="Z36" s="6">
        <f>ROUND(IF(Table2[[#This Row],[2023-24 BCTEA Approved]]-Table2[[#This Row],[2022-23 BCTEA To/from Carryover]]-Table2[[#This Row],[ex Repurposed to TO/FROM]]&gt;0,Table2[[#This Row],[2023-24 BCTEA Approved]]-Table2[[#This Row],[2022-23 BCTEA To/from Carryover]]-Table2[[#This Row],[ex Repurposed to TO/FROM]], "$0"),0)</f>
        <v>60286</v>
      </c>
      <c r="AA36" s="158">
        <v>230</v>
      </c>
      <c r="AB36" s="6">
        <v>83</v>
      </c>
      <c r="AC36" s="6">
        <v>423</v>
      </c>
      <c r="AD36" s="6">
        <v>57</v>
      </c>
      <c r="AE36" s="6">
        <v>563</v>
      </c>
    </row>
    <row r="37" spans="1:31" x14ac:dyDescent="0.3">
      <c r="A37">
        <v>59</v>
      </c>
      <c r="B37" t="s">
        <v>284</v>
      </c>
      <c r="C37">
        <v>3651</v>
      </c>
      <c r="D37">
        <v>1351</v>
      </c>
      <c r="E37">
        <v>125</v>
      </c>
      <c r="F37">
        <v>5909</v>
      </c>
      <c r="G37">
        <v>249134</v>
      </c>
      <c r="H37" s="154">
        <v>3435127</v>
      </c>
      <c r="I37" s="154">
        <v>3732670</v>
      </c>
      <c r="J37" s="154">
        <v>0</v>
      </c>
      <c r="K37" s="6">
        <v>20012</v>
      </c>
      <c r="L37" s="6"/>
      <c r="M37" s="6">
        <v>0</v>
      </c>
      <c r="N37" s="6">
        <v>15897</v>
      </c>
      <c r="O37" s="6">
        <v>15897</v>
      </c>
      <c r="P37" s="6">
        <f>ROUND((Table2[[#This Row],[2023-24 CDS Payment]]-Table2[[#This Row],[TO/FROM cds]]),0)</f>
        <v>15897</v>
      </c>
      <c r="Q37" s="6">
        <v>20012</v>
      </c>
      <c r="R37" s="6">
        <v>0</v>
      </c>
      <c r="S37" s="6"/>
      <c r="T37" s="6">
        <f>ROUND(SUM(Table2[[#This Row],[EX CARRYOVER PRIOR TO ADJUSTMENT]],Table2[[#This Row],[2023-24 EX Allocation]])-Table2[[#This Row],[EX Repurposed]],0)</f>
        <v>35909</v>
      </c>
      <c r="U37" s="6">
        <v>50270282</v>
      </c>
      <c r="V37" s="6">
        <v>441458</v>
      </c>
      <c r="W37" s="6">
        <v>2730999</v>
      </c>
      <c r="X37" s="6">
        <v>185000</v>
      </c>
      <c r="Y37" s="6">
        <v>0</v>
      </c>
      <c r="Z37" s="6">
        <f>ROUND(IF(Table2[[#This Row],[2023-24 BCTEA Approved]]-Table2[[#This Row],[2022-23 BCTEA To/from Carryover]]-Table2[[#This Row],[ex Repurposed to TO/FROM]]&gt;0,Table2[[#This Row],[2023-24 BCTEA Approved]]-Table2[[#This Row],[2022-23 BCTEA To/from Carryover]]-Table2[[#This Row],[ex Repurposed to TO/FROM]], "$0"),0)</f>
        <v>0</v>
      </c>
      <c r="AA37" s="158">
        <v>106</v>
      </c>
      <c r="AB37" s="6">
        <v>120</v>
      </c>
      <c r="AC37" s="6">
        <v>740</v>
      </c>
      <c r="AD37" s="6">
        <v>50</v>
      </c>
      <c r="AE37" s="6">
        <v>910</v>
      </c>
    </row>
    <row r="38" spans="1:31" x14ac:dyDescent="0.3">
      <c r="A38">
        <v>60</v>
      </c>
      <c r="B38" t="s">
        <v>283</v>
      </c>
      <c r="C38">
        <v>5914</v>
      </c>
      <c r="D38">
        <v>1998</v>
      </c>
      <c r="E38">
        <v>78</v>
      </c>
      <c r="F38">
        <v>7782</v>
      </c>
      <c r="G38">
        <v>59993</v>
      </c>
      <c r="H38" s="154">
        <v>4032390</v>
      </c>
      <c r="I38" s="154">
        <v>4325200</v>
      </c>
      <c r="J38" s="154">
        <v>0</v>
      </c>
      <c r="K38" s="6">
        <v>31329</v>
      </c>
      <c r="L38" s="6"/>
      <c r="M38" s="6">
        <v>218500</v>
      </c>
      <c r="N38" s="6">
        <v>12597</v>
      </c>
      <c r="O38" s="6">
        <v>214228</v>
      </c>
      <c r="P38" s="6">
        <f>ROUND((Table2[[#This Row],[2023-24 CDS Payment]]-Table2[[#This Row],[TO/FROM cds]]),0)</f>
        <v>12597</v>
      </c>
      <c r="Q38" s="6">
        <v>48198</v>
      </c>
      <c r="R38" s="6">
        <v>16869</v>
      </c>
      <c r="S38" s="6"/>
      <c r="T38" s="6">
        <f>ROUND(SUM(Table2[[#This Row],[EX CARRYOVER PRIOR TO ADJUSTMENT]],Table2[[#This Row],[2023-24 EX Allocation]])-Table2[[#This Row],[EX Repurposed]],0)</f>
        <v>43926</v>
      </c>
      <c r="U38" s="6">
        <v>75299682</v>
      </c>
      <c r="V38" s="6">
        <v>425785</v>
      </c>
      <c r="W38" s="6">
        <v>2389589</v>
      </c>
      <c r="X38" s="6">
        <v>292000</v>
      </c>
      <c r="Y38" s="6">
        <v>16869</v>
      </c>
      <c r="Z38" s="6">
        <f>ROUND(IF(Table2[[#This Row],[2023-24 BCTEA Approved]]-Table2[[#This Row],[2022-23 BCTEA To/from Carryover]]-Table2[[#This Row],[ex Repurposed to TO/FROM]]&gt;0,Table2[[#This Row],[2023-24 BCTEA Approved]]-Table2[[#This Row],[2022-23 BCTEA To/from Carryover]]-Table2[[#This Row],[ex Repurposed to TO/FROM]], "$0"),0)</f>
        <v>201631</v>
      </c>
      <c r="AA38" s="158">
        <v>84</v>
      </c>
      <c r="AB38" s="6">
        <v>71</v>
      </c>
      <c r="AC38" s="6">
        <v>400</v>
      </c>
      <c r="AD38" s="6">
        <v>49</v>
      </c>
      <c r="AE38" s="6">
        <v>520</v>
      </c>
    </row>
    <row r="39" spans="1:31" x14ac:dyDescent="0.3">
      <c r="A39">
        <v>61</v>
      </c>
      <c r="B39" t="s">
        <v>282</v>
      </c>
      <c r="C39">
        <v>19544</v>
      </c>
      <c r="D39">
        <v>376</v>
      </c>
      <c r="E39">
        <v>103</v>
      </c>
      <c r="F39">
        <v>1290</v>
      </c>
      <c r="G39">
        <v>15651</v>
      </c>
      <c r="H39" s="154">
        <v>1505922</v>
      </c>
      <c r="I39" s="154">
        <v>1463254</v>
      </c>
      <c r="J39" s="154">
        <v>0</v>
      </c>
      <c r="K39" s="6">
        <v>25863</v>
      </c>
      <c r="L39" s="6"/>
      <c r="M39" s="6">
        <v>87657</v>
      </c>
      <c r="N39" s="6">
        <v>16947</v>
      </c>
      <c r="O39" s="6">
        <v>104604</v>
      </c>
      <c r="P39" s="6">
        <f>ROUND((Table2[[#This Row],[2023-24 CDS Payment]]-Table2[[#This Row],[TO/FROM cds]]),0)</f>
        <v>16947</v>
      </c>
      <c r="Q39" s="6">
        <v>25863</v>
      </c>
      <c r="R39" s="6">
        <v>0</v>
      </c>
      <c r="S39" s="6"/>
      <c r="T39" s="6">
        <f>ROUND(SUM(Table2[[#This Row],[EX CARRYOVER PRIOR TO ADJUSTMENT]],Table2[[#This Row],[2023-24 EX Allocation]])-Table2[[#This Row],[EX Repurposed]],0)</f>
        <v>42810</v>
      </c>
      <c r="U39" s="6">
        <v>221362109</v>
      </c>
      <c r="V39" s="6">
        <v>20027</v>
      </c>
      <c r="W39" s="6">
        <v>130201</v>
      </c>
      <c r="X39" s="6">
        <v>1041000</v>
      </c>
      <c r="Y39" s="6">
        <v>0</v>
      </c>
      <c r="Z39" s="6">
        <f>ROUND(IF(Table2[[#This Row],[2023-24 BCTEA Approved]]-Table2[[#This Row],[2022-23 BCTEA To/from Carryover]]-Table2[[#This Row],[ex Repurposed to TO/FROM]]&gt;0,Table2[[#This Row],[2023-24 BCTEA Approved]]-Table2[[#This Row],[2022-23 BCTEA To/from Carryover]]-Table2[[#This Row],[ex Repurposed to TO/FROM]], "$0"),0)</f>
        <v>87657</v>
      </c>
      <c r="AA39" s="158">
        <v>113</v>
      </c>
      <c r="AB39" s="6">
        <v>1</v>
      </c>
      <c r="AC39" s="6">
        <v>6</v>
      </c>
      <c r="AD39" s="6">
        <v>51</v>
      </c>
      <c r="AE39" s="6">
        <v>58</v>
      </c>
    </row>
    <row r="40" spans="1:31" x14ac:dyDescent="0.3">
      <c r="A40">
        <v>62</v>
      </c>
      <c r="B40" t="s">
        <v>281</v>
      </c>
      <c r="C40">
        <v>12619</v>
      </c>
      <c r="D40">
        <v>4282</v>
      </c>
      <c r="E40">
        <v>72</v>
      </c>
      <c r="F40">
        <v>0</v>
      </c>
      <c r="G40">
        <v>98136</v>
      </c>
      <c r="H40" s="154">
        <v>3034669</v>
      </c>
      <c r="I40" s="154">
        <v>3376127</v>
      </c>
      <c r="J40" s="154">
        <v>0</v>
      </c>
      <c r="K40" s="6">
        <v>14267</v>
      </c>
      <c r="L40" s="6"/>
      <c r="M40" s="6">
        <v>20000</v>
      </c>
      <c r="N40" s="6">
        <v>13947</v>
      </c>
      <c r="O40" s="6">
        <v>33947</v>
      </c>
      <c r="P40" s="6">
        <f>ROUND((Table2[[#This Row],[2023-24 CDS Payment]]-Table2[[#This Row],[TO/FROM cds]]),0)</f>
        <v>13947</v>
      </c>
      <c r="Q40" s="6">
        <v>14267</v>
      </c>
      <c r="R40" s="6">
        <v>0</v>
      </c>
      <c r="S40" s="6"/>
      <c r="T40" s="6">
        <f>ROUND(SUM(Table2[[#This Row],[EX CARRYOVER PRIOR TO ADJUSTMENT]],Table2[[#This Row],[2023-24 EX Allocation]])-Table2[[#This Row],[EX Repurposed]],0)</f>
        <v>28214</v>
      </c>
      <c r="U40" s="6">
        <v>148140492</v>
      </c>
      <c r="V40" s="6">
        <v>358365</v>
      </c>
      <c r="W40" s="6">
        <v>2257103</v>
      </c>
      <c r="X40" s="6">
        <v>693000</v>
      </c>
      <c r="Y40" s="6">
        <v>0</v>
      </c>
      <c r="Z40" s="6">
        <f>ROUND(IF(Table2[[#This Row],[2023-24 BCTEA Approved]]-Table2[[#This Row],[2022-23 BCTEA To/from Carryover]]-Table2[[#This Row],[ex Repurposed to TO/FROM]]&gt;0,Table2[[#This Row],[2023-24 BCTEA Approved]]-Table2[[#This Row],[2022-23 BCTEA To/from Carryover]]-Table2[[#This Row],[ex Repurposed to TO/FROM]], "$0"),0)</f>
        <v>20000</v>
      </c>
      <c r="AA40" s="158">
        <v>93</v>
      </c>
      <c r="AB40" s="6">
        <v>27</v>
      </c>
      <c r="AC40" s="6">
        <v>172</v>
      </c>
      <c r="AD40" s="6">
        <v>53</v>
      </c>
      <c r="AE40" s="6">
        <v>252</v>
      </c>
    </row>
    <row r="41" spans="1:31" x14ac:dyDescent="0.3">
      <c r="A41">
        <v>63</v>
      </c>
      <c r="B41" t="s">
        <v>280</v>
      </c>
      <c r="C41">
        <v>10893</v>
      </c>
      <c r="D41">
        <v>2700</v>
      </c>
      <c r="E41">
        <v>275</v>
      </c>
      <c r="F41">
        <v>2248</v>
      </c>
      <c r="G41">
        <v>817283</v>
      </c>
      <c r="H41" s="154">
        <v>1453929</v>
      </c>
      <c r="I41" s="154">
        <v>1515884</v>
      </c>
      <c r="J41" s="154">
        <v>4051</v>
      </c>
      <c r="K41" s="6">
        <v>97677</v>
      </c>
      <c r="L41" s="6"/>
      <c r="M41" s="6">
        <v>98636</v>
      </c>
      <c r="N41" s="6">
        <v>39592</v>
      </c>
      <c r="O41" s="6">
        <v>134177</v>
      </c>
      <c r="P41" s="6">
        <f>ROUND((Table2[[#This Row],[2023-24 CDS Payment]]-Table2[[#This Row],[TO/FROM cds]]),0)</f>
        <v>39592</v>
      </c>
      <c r="Q41" s="6">
        <v>97677</v>
      </c>
      <c r="R41" s="6">
        <v>0</v>
      </c>
      <c r="S41" s="6"/>
      <c r="T41" s="6">
        <f>ROUND(SUM(Table2[[#This Row],[EX CARRYOVER PRIOR TO ADJUSTMENT]],Table2[[#This Row],[2023-24 EX Allocation]])-Table2[[#This Row],[EX Repurposed]],0)</f>
        <v>137269</v>
      </c>
      <c r="U41" s="6">
        <v>83328239</v>
      </c>
      <c r="V41" s="6">
        <v>280000</v>
      </c>
      <c r="W41" s="6">
        <v>1669615</v>
      </c>
      <c r="X41" s="6">
        <v>402000</v>
      </c>
      <c r="Y41" s="6">
        <v>0</v>
      </c>
      <c r="Z41" s="6">
        <f>ROUND(IF(Table2[[#This Row],[2023-24 BCTEA Approved]]-Table2[[#This Row],[2022-23 BCTEA To/from Carryover]]-Table2[[#This Row],[ex Repurposed to TO/FROM]]&gt;0,Table2[[#This Row],[2023-24 BCTEA Approved]]-Table2[[#This Row],[2022-23 BCTEA To/from Carryover]]-Table2[[#This Row],[ex Repurposed to TO/FROM]], "$0"),0)</f>
        <v>94585</v>
      </c>
      <c r="AA41" s="158">
        <v>264</v>
      </c>
      <c r="AB41" s="6">
        <v>38</v>
      </c>
      <c r="AC41" s="6">
        <v>226</v>
      </c>
      <c r="AD41" s="6">
        <v>54</v>
      </c>
      <c r="AE41" s="6">
        <v>318</v>
      </c>
    </row>
    <row r="42" spans="1:31" x14ac:dyDescent="0.3">
      <c r="A42">
        <v>64</v>
      </c>
      <c r="B42" t="s">
        <v>10</v>
      </c>
      <c r="H42" s="154">
        <v>1588500</v>
      </c>
      <c r="I42" s="154">
        <v>1631628</v>
      </c>
      <c r="J42" s="154"/>
      <c r="K42" s="6"/>
      <c r="L42" s="6"/>
      <c r="M42" s="6">
        <v>0</v>
      </c>
      <c r="N42" s="6">
        <v>150</v>
      </c>
      <c r="O42" s="6">
        <v>150</v>
      </c>
      <c r="P42" s="6">
        <f>ROUND((Table2[[#This Row],[2023-24 CDS Payment]]-Table2[[#This Row],[TO/FROM cds]]),0)</f>
        <v>150</v>
      </c>
      <c r="Q42" s="6"/>
      <c r="R42" s="6">
        <v>0</v>
      </c>
      <c r="S42" s="6"/>
      <c r="T42" s="6">
        <f>ROUND(SUM(Table2[[#This Row],[EX CARRYOVER PRIOR TO ADJUSTMENT]],Table2[[#This Row],[2023-24 EX Allocation]])-Table2[[#This Row],[EX Repurposed]],0)</f>
        <v>150</v>
      </c>
      <c r="U42" s="6">
        <v>22324723</v>
      </c>
      <c r="V42" s="6">
        <v>328264</v>
      </c>
      <c r="W42" s="6">
        <v>2011723</v>
      </c>
      <c r="X42" s="6">
        <v>46000</v>
      </c>
      <c r="Y42" s="6">
        <v>0</v>
      </c>
      <c r="Z42" s="6">
        <f>ROUND(IF(Table2[[#This Row],[2023-24 BCTEA Approved]]-Table2[[#This Row],[2022-23 BCTEA To/from Carryover]]-Table2[[#This Row],[ex Repurposed to TO/FROM]]&gt;0,Table2[[#This Row],[2023-24 BCTEA Approved]]-Table2[[#This Row],[2022-23 BCTEA To/from Carryover]]-Table2[[#This Row],[ex Repurposed to TO/FROM]], "$0"),0)</f>
        <v>0</v>
      </c>
      <c r="AA42" s="158">
        <v>1</v>
      </c>
      <c r="AB42" s="6">
        <v>217</v>
      </c>
      <c r="AC42" s="6">
        <v>1330</v>
      </c>
      <c r="AD42" s="6">
        <v>30</v>
      </c>
      <c r="AE42" s="6">
        <v>1577</v>
      </c>
    </row>
    <row r="43" spans="1:31" x14ac:dyDescent="0.3">
      <c r="A43">
        <v>67</v>
      </c>
      <c r="B43" t="s">
        <v>279</v>
      </c>
      <c r="C43">
        <v>5763</v>
      </c>
      <c r="D43">
        <v>1837</v>
      </c>
      <c r="E43">
        <v>75</v>
      </c>
      <c r="F43">
        <v>1400</v>
      </c>
      <c r="G43">
        <v>59774</v>
      </c>
      <c r="H43" s="154">
        <v>823779</v>
      </c>
      <c r="I43" s="154">
        <v>881843</v>
      </c>
      <c r="J43" s="154">
        <v>7020</v>
      </c>
      <c r="K43" s="6">
        <v>18495</v>
      </c>
      <c r="L43" s="6"/>
      <c r="M43" s="6">
        <v>69375</v>
      </c>
      <c r="N43" s="6">
        <v>10498</v>
      </c>
      <c r="O43" s="6">
        <v>72853</v>
      </c>
      <c r="P43" s="6">
        <f>ROUND((Table2[[#This Row],[2023-24 CDS Payment]]-Table2[[#This Row],[TO/FROM cds]]),0)</f>
        <v>10498</v>
      </c>
      <c r="Q43" s="6">
        <v>18495</v>
      </c>
      <c r="R43" s="6">
        <v>0</v>
      </c>
      <c r="S43" s="6"/>
      <c r="T43" s="6">
        <f>ROUND(SUM(Table2[[#This Row],[EX CARRYOVER PRIOR TO ADJUSTMENT]],Table2[[#This Row],[2023-24 EX Allocation]])-Table2[[#This Row],[EX Repurposed]],0)</f>
        <v>28993</v>
      </c>
      <c r="U43" s="6">
        <v>68043097</v>
      </c>
      <c r="V43" s="6">
        <v>167035</v>
      </c>
      <c r="W43" s="6">
        <v>1049560</v>
      </c>
      <c r="X43" s="6">
        <v>406000</v>
      </c>
      <c r="Y43" s="6">
        <v>0</v>
      </c>
      <c r="Z43" s="6">
        <f>ROUND(IF(Table2[[#This Row],[2023-24 BCTEA Approved]]-Table2[[#This Row],[2022-23 BCTEA To/from Carryover]]-Table2[[#This Row],[ex Repurposed to TO/FROM]]&gt;0,Table2[[#This Row],[2023-24 BCTEA Approved]]-Table2[[#This Row],[2022-23 BCTEA To/from Carryover]]-Table2[[#This Row],[ex Repurposed to TO/FROM]], "$0"),0)</f>
        <v>62355</v>
      </c>
      <c r="AA43" s="158">
        <v>70</v>
      </c>
      <c r="AB43" s="6">
        <v>29</v>
      </c>
      <c r="AC43" s="6">
        <v>181</v>
      </c>
      <c r="AD43" s="6">
        <v>70</v>
      </c>
      <c r="AE43" s="6">
        <v>280</v>
      </c>
    </row>
    <row r="44" spans="1:31" x14ac:dyDescent="0.3">
      <c r="A44">
        <v>68</v>
      </c>
      <c r="B44" t="s">
        <v>278</v>
      </c>
      <c r="C44">
        <v>15356</v>
      </c>
      <c r="D44">
        <v>893</v>
      </c>
      <c r="E44">
        <v>213</v>
      </c>
      <c r="F44">
        <v>2234</v>
      </c>
      <c r="G44">
        <v>58542</v>
      </c>
      <c r="H44" s="154">
        <v>1657470</v>
      </c>
      <c r="I44" s="154">
        <v>1694132</v>
      </c>
      <c r="J44" s="154">
        <v>0</v>
      </c>
      <c r="K44" s="6">
        <v>69616</v>
      </c>
      <c r="L44" s="6"/>
      <c r="M44" s="6">
        <v>220634</v>
      </c>
      <c r="N44" s="6">
        <v>23695</v>
      </c>
      <c r="O44" s="6">
        <v>206844</v>
      </c>
      <c r="P44" s="159">
        <v>23695</v>
      </c>
      <c r="Q44" s="6">
        <v>107102</v>
      </c>
      <c r="R44" s="6">
        <v>37486</v>
      </c>
      <c r="S44" s="6"/>
      <c r="T44" s="6">
        <f>ROUND(SUM(Table2[[#This Row],[EX CARRYOVER PRIOR TO ADJUSTMENT]],Table2[[#This Row],[2023-24 EX Allocation]])-Table2[[#This Row],[EX Repurposed]],0)</f>
        <v>93311</v>
      </c>
      <c r="U44" s="6">
        <v>162080061</v>
      </c>
      <c r="V44" s="6">
        <v>244630</v>
      </c>
      <c r="W44" s="6">
        <v>1670045</v>
      </c>
      <c r="X44" s="6">
        <v>685000</v>
      </c>
      <c r="Y44" s="6">
        <v>37486</v>
      </c>
      <c r="Z44" s="6">
        <f>ROUND(IF(Table2[[#This Row],[2023-24 BCTEA Approved]]-Table2[[#This Row],[2022-23 BCTEA To/from Carryover]]-Table2[[#This Row],[ex Repurposed to TO/FROM]]&gt;0,Table2[[#This Row],[2023-24 BCTEA Approved]]-Table2[[#This Row],[2022-23 BCTEA To/from Carryover]]-Table2[[#This Row],[ex Repurposed to TO/FROM]], "$0"),0)</f>
        <v>183148</v>
      </c>
      <c r="AA44" s="158">
        <v>158</v>
      </c>
      <c r="AB44" s="6">
        <v>16</v>
      </c>
      <c r="AC44" s="6">
        <v>111</v>
      </c>
      <c r="AD44" s="6">
        <v>46</v>
      </c>
      <c r="AE44" s="6">
        <v>173</v>
      </c>
    </row>
    <row r="45" spans="1:31" x14ac:dyDescent="0.3">
      <c r="A45">
        <v>69</v>
      </c>
      <c r="B45" t="s">
        <v>277</v>
      </c>
      <c r="C45">
        <v>4483</v>
      </c>
      <c r="D45">
        <v>1932</v>
      </c>
      <c r="E45">
        <v>38</v>
      </c>
      <c r="F45">
        <v>0</v>
      </c>
      <c r="G45">
        <v>34541</v>
      </c>
      <c r="H45" s="154">
        <v>1612822</v>
      </c>
      <c r="I45" s="154">
        <v>1955255</v>
      </c>
      <c r="J45" s="154">
        <v>0</v>
      </c>
      <c r="K45" s="6">
        <v>7916</v>
      </c>
      <c r="L45" s="6"/>
      <c r="M45" s="6">
        <v>123060</v>
      </c>
      <c r="N45" s="6">
        <v>4349</v>
      </c>
      <c r="O45" s="6">
        <v>127409</v>
      </c>
      <c r="P45" s="6">
        <f>ROUND((Table2[[#This Row],[2023-24 CDS Payment]]-Table2[[#This Row],[TO/FROM cds]]),0)</f>
        <v>4349</v>
      </c>
      <c r="Q45" s="6">
        <v>7916</v>
      </c>
      <c r="R45" s="6">
        <v>0</v>
      </c>
      <c r="S45" s="6"/>
      <c r="T45" s="6">
        <f>ROUND(SUM(Table2[[#This Row],[EX CARRYOVER PRIOR TO ADJUSTMENT]],Table2[[#This Row],[2023-24 EX Allocation]])-Table2[[#This Row],[EX Repurposed]],0)</f>
        <v>12265</v>
      </c>
      <c r="U45" s="6">
        <v>50512201</v>
      </c>
      <c r="V45" s="6">
        <v>426341</v>
      </c>
      <c r="W45" s="6">
        <v>2452242</v>
      </c>
      <c r="X45" s="6">
        <v>218000</v>
      </c>
      <c r="Y45" s="6">
        <v>0</v>
      </c>
      <c r="Z45" s="6">
        <f>ROUND(IF(Table2[[#This Row],[2023-24 BCTEA Approved]]-Table2[[#This Row],[2022-23 BCTEA To/from Carryover]]-Table2[[#This Row],[ex Repurposed to TO/FROM]]&gt;0,Table2[[#This Row],[2023-24 BCTEA Approved]]-Table2[[#This Row],[2022-23 BCTEA To/from Carryover]]-Table2[[#This Row],[ex Repurposed to TO/FROM]], "$0"),0)</f>
        <v>123060</v>
      </c>
      <c r="AA45" s="158">
        <v>29</v>
      </c>
      <c r="AB45" s="6">
        <v>98</v>
      </c>
      <c r="AC45" s="6">
        <v>564</v>
      </c>
      <c r="AD45" s="6">
        <v>50</v>
      </c>
      <c r="AE45" s="6">
        <v>712</v>
      </c>
    </row>
    <row r="46" spans="1:31" x14ac:dyDescent="0.3">
      <c r="A46">
        <v>70</v>
      </c>
      <c r="B46" t="s">
        <v>276</v>
      </c>
      <c r="C46">
        <v>3940.3125</v>
      </c>
      <c r="D46">
        <v>625</v>
      </c>
      <c r="E46">
        <v>49</v>
      </c>
      <c r="F46">
        <v>567</v>
      </c>
      <c r="G46">
        <v>323944</v>
      </c>
      <c r="H46" s="154">
        <v>1535152</v>
      </c>
      <c r="I46" s="154">
        <v>1143937</v>
      </c>
      <c r="J46" s="154">
        <v>0</v>
      </c>
      <c r="K46" s="6">
        <v>0</v>
      </c>
      <c r="L46" s="6"/>
      <c r="M46" s="6">
        <v>151454</v>
      </c>
      <c r="N46" s="6">
        <v>31494</v>
      </c>
      <c r="O46" s="6">
        <v>182948</v>
      </c>
      <c r="P46" s="6">
        <f>ROUND((Table2[[#This Row],[2023-24 CDS Payment]]-Table2[[#This Row],[TO/FROM cds]]),0)</f>
        <v>31494</v>
      </c>
      <c r="Q46" s="6">
        <v>0</v>
      </c>
      <c r="R46" s="6">
        <v>0</v>
      </c>
      <c r="S46" s="6"/>
      <c r="T46" s="6">
        <f>ROUND(SUM(Table2[[#This Row],[EX CARRYOVER PRIOR TO ADJUSTMENT]],Table2[[#This Row],[2023-24 EX Allocation]])-Table2[[#This Row],[EX Repurposed]],0)</f>
        <v>31494</v>
      </c>
      <c r="U46" s="6">
        <v>46113030</v>
      </c>
      <c r="V46" s="6">
        <v>71717</v>
      </c>
      <c r="W46" s="6">
        <v>591656</v>
      </c>
      <c r="X46" s="6">
        <v>164000</v>
      </c>
      <c r="Y46" s="6">
        <v>0</v>
      </c>
      <c r="Z46" s="6">
        <f>ROUND(IF(Table2[[#This Row],[2023-24 BCTEA Approved]]-Table2[[#This Row],[2022-23 BCTEA To/from Carryover]]-Table2[[#This Row],[ex Repurposed to TO/FROM]]&gt;0,Table2[[#This Row],[2023-24 BCTEA Approved]]-Table2[[#This Row],[2022-23 BCTEA To/from Carryover]]-Table2[[#This Row],[ex Repurposed to TO/FROM]], "$0"),0)</f>
        <v>151454</v>
      </c>
      <c r="AA46" s="158">
        <v>210</v>
      </c>
      <c r="AB46" s="6">
        <v>18</v>
      </c>
      <c r="AC46" s="6">
        <v>149</v>
      </c>
      <c r="AD46" s="6">
        <v>41</v>
      </c>
      <c r="AE46" s="6">
        <v>208</v>
      </c>
    </row>
    <row r="47" spans="1:31" x14ac:dyDescent="0.3">
      <c r="A47">
        <v>71</v>
      </c>
      <c r="B47" t="s">
        <v>275</v>
      </c>
      <c r="C47">
        <v>10398</v>
      </c>
      <c r="D47">
        <v>2650</v>
      </c>
      <c r="E47">
        <v>15</v>
      </c>
      <c r="F47">
        <v>3435</v>
      </c>
      <c r="G47">
        <v>14160</v>
      </c>
      <c r="H47" s="154">
        <v>2665942</v>
      </c>
      <c r="I47" s="154">
        <v>2802508</v>
      </c>
      <c r="J47" s="154">
        <v>0</v>
      </c>
      <c r="K47" s="6">
        <v>674</v>
      </c>
      <c r="L47" s="6"/>
      <c r="M47" s="6">
        <v>54600</v>
      </c>
      <c r="N47" s="6">
        <v>4049</v>
      </c>
      <c r="O47" s="6">
        <v>58649</v>
      </c>
      <c r="P47" s="6">
        <f>ROUND((Table2[[#This Row],[2023-24 CDS Payment]]-Table2[[#This Row],[TO/FROM cds]]),0)</f>
        <v>4049</v>
      </c>
      <c r="Q47" s="6">
        <v>674</v>
      </c>
      <c r="R47" s="6">
        <v>0</v>
      </c>
      <c r="S47" s="6"/>
      <c r="T47" s="6">
        <f>ROUND(SUM(Table2[[#This Row],[EX CARRYOVER PRIOR TO ADJUSTMENT]],Table2[[#This Row],[2023-24 EX Allocation]])-Table2[[#This Row],[EX Repurposed]],0)</f>
        <v>4723</v>
      </c>
      <c r="U47" s="6">
        <v>110906786</v>
      </c>
      <c r="V47" s="6">
        <v>421375</v>
      </c>
      <c r="W47" s="6">
        <v>3925860</v>
      </c>
      <c r="X47" s="6">
        <v>476000</v>
      </c>
      <c r="Y47" s="6">
        <v>0</v>
      </c>
      <c r="Z47" s="6">
        <f>ROUND(IF(Table2[[#This Row],[2023-24 BCTEA Approved]]-Table2[[#This Row],[2022-23 BCTEA To/from Carryover]]-Table2[[#This Row],[ex Repurposed to TO/FROM]]&gt;0,Table2[[#This Row],[2023-24 BCTEA Approved]]-Table2[[#This Row],[2022-23 BCTEA To/from Carryover]]-Table2[[#This Row],[ex Repurposed to TO/FROM]], "$0"),0)</f>
        <v>54600</v>
      </c>
      <c r="AA47" s="158">
        <v>27</v>
      </c>
      <c r="AB47" s="6">
        <v>42</v>
      </c>
      <c r="AC47" s="6">
        <v>387</v>
      </c>
      <c r="AD47" s="6">
        <v>47</v>
      </c>
      <c r="AE47" s="6">
        <v>476</v>
      </c>
    </row>
    <row r="48" spans="1:31" x14ac:dyDescent="0.3">
      <c r="A48">
        <v>72</v>
      </c>
      <c r="B48" t="s">
        <v>274</v>
      </c>
      <c r="C48">
        <v>5577</v>
      </c>
      <c r="D48">
        <v>800</v>
      </c>
      <c r="E48">
        <v>181</v>
      </c>
      <c r="F48">
        <v>0</v>
      </c>
      <c r="G48">
        <v>183155</v>
      </c>
      <c r="H48" s="154">
        <v>1564018</v>
      </c>
      <c r="I48" s="154">
        <v>1485280</v>
      </c>
      <c r="J48" s="154">
        <v>0</v>
      </c>
      <c r="K48" s="6">
        <v>52289</v>
      </c>
      <c r="L48" s="6"/>
      <c r="M48" s="6">
        <v>102698</v>
      </c>
      <c r="N48" s="6">
        <v>31044</v>
      </c>
      <c r="O48" s="6">
        <v>111332</v>
      </c>
      <c r="P48" s="6">
        <f>ROUND((Table2[[#This Row],[2023-24 CDS Payment]]-Table2[[#This Row],[TO/FROM cds]]),0)</f>
        <v>31044</v>
      </c>
      <c r="Q48" s="6">
        <v>74699</v>
      </c>
      <c r="R48" s="6">
        <v>22410</v>
      </c>
      <c r="S48" s="6"/>
      <c r="T48" s="6">
        <f>ROUND(SUM(Table2[[#This Row],[EX CARRYOVER PRIOR TO ADJUSTMENT]],Table2[[#This Row],[2023-24 EX Allocation]])-Table2[[#This Row],[EX Repurposed]],0)</f>
        <v>83333</v>
      </c>
      <c r="U48" s="6">
        <v>68826588</v>
      </c>
      <c r="V48" s="6">
        <v>316860</v>
      </c>
      <c r="W48" s="6">
        <v>1980406</v>
      </c>
      <c r="X48" s="6">
        <v>351000</v>
      </c>
      <c r="Y48" s="6">
        <v>22410</v>
      </c>
      <c r="Z48" s="6">
        <f>ROUND(IF(Table2[[#This Row],[2023-24 BCTEA Approved]]-Table2[[#This Row],[2022-23 BCTEA To/from Carryover]]-Table2[[#This Row],[ex Repurposed to TO/FROM]]&gt;0,Table2[[#This Row],[2023-24 BCTEA Approved]]-Table2[[#This Row],[2022-23 BCTEA To/from Carryover]]-Table2[[#This Row],[ex Repurposed to TO/FROM]], "$0"),0)</f>
        <v>80288</v>
      </c>
      <c r="AA48" s="158">
        <v>207</v>
      </c>
      <c r="AB48" s="6">
        <v>56</v>
      </c>
      <c r="AC48" s="6">
        <v>349</v>
      </c>
      <c r="AD48" s="6">
        <v>62</v>
      </c>
      <c r="AE48" s="6">
        <v>467</v>
      </c>
    </row>
    <row r="49" spans="1:31" x14ac:dyDescent="0.3">
      <c r="A49">
        <v>73</v>
      </c>
      <c r="B49" t="s">
        <v>273</v>
      </c>
      <c r="C49">
        <v>15691</v>
      </c>
      <c r="D49">
        <v>5000</v>
      </c>
      <c r="E49">
        <v>259</v>
      </c>
      <c r="F49">
        <v>9000</v>
      </c>
      <c r="G49">
        <v>595943</v>
      </c>
      <c r="H49" s="154">
        <v>5444883</v>
      </c>
      <c r="I49" s="154">
        <v>5942816</v>
      </c>
      <c r="J49" s="154">
        <v>36305</v>
      </c>
      <c r="K49" s="6">
        <v>80257</v>
      </c>
      <c r="L49" s="6">
        <v>37500</v>
      </c>
      <c r="M49" s="6">
        <v>137395</v>
      </c>
      <c r="N49" s="6">
        <v>38092</v>
      </c>
      <c r="O49" s="6">
        <v>104786</v>
      </c>
      <c r="P49" s="6">
        <f>ROUND((Table2[[#This Row],[2023-24 CDS Payment]]-Table2[[#This Row],[TO/FROM cds]]),0)</f>
        <v>38092</v>
      </c>
      <c r="Q49" s="6">
        <v>114653</v>
      </c>
      <c r="R49" s="6">
        <v>34396</v>
      </c>
      <c r="S49" s="6"/>
      <c r="T49" s="6">
        <f>ROUND(SUM(Table2[[#This Row],[EX CARRYOVER PRIOR TO ADJUSTMENT]],Table2[[#This Row],[2023-24 EX Allocation]])-Table2[[#This Row],[EX Repurposed]],0)</f>
        <v>118349</v>
      </c>
      <c r="U49" s="6">
        <v>187020626</v>
      </c>
      <c r="V49" s="6">
        <v>666817</v>
      </c>
      <c r="W49" s="6">
        <v>4811392</v>
      </c>
      <c r="X49" s="6">
        <v>962000</v>
      </c>
      <c r="Y49" s="6">
        <v>34396</v>
      </c>
      <c r="Z49" s="6">
        <f>ROUND(IF(Table2[[#This Row],[2023-24 BCTEA Approved]]-Table2[[#This Row],[2022-23 BCTEA To/from Carryover]]-Table2[[#This Row],[ex Repurposed to TO/FROM]]&gt;0,Table2[[#This Row],[2023-24 BCTEA Approved]]-Table2[[#This Row],[2022-23 BCTEA To/from Carryover]]-Table2[[#This Row],[ex Repurposed to TO/FROM]], "$0"),0)</f>
        <v>66694</v>
      </c>
      <c r="AA49" s="158">
        <v>254</v>
      </c>
      <c r="AB49" s="6">
        <v>42</v>
      </c>
      <c r="AC49" s="6">
        <v>304</v>
      </c>
      <c r="AD49" s="6">
        <v>61</v>
      </c>
      <c r="AE49" s="6">
        <v>407</v>
      </c>
    </row>
    <row r="50" spans="1:31" x14ac:dyDescent="0.3">
      <c r="A50">
        <v>74</v>
      </c>
      <c r="B50" t="s">
        <v>272</v>
      </c>
      <c r="C50">
        <v>1092</v>
      </c>
      <c r="D50">
        <v>808</v>
      </c>
      <c r="E50">
        <v>347</v>
      </c>
      <c r="F50">
        <v>2318</v>
      </c>
      <c r="G50">
        <v>1555742</v>
      </c>
      <c r="H50" s="154">
        <v>1434172</v>
      </c>
      <c r="I50" s="154">
        <v>1505283</v>
      </c>
      <c r="J50" s="154">
        <v>0</v>
      </c>
      <c r="K50" s="6">
        <v>0</v>
      </c>
      <c r="L50" s="6"/>
      <c r="M50" s="6">
        <v>0</v>
      </c>
      <c r="N50" s="6">
        <v>51140</v>
      </c>
      <c r="O50" s="6">
        <v>51140</v>
      </c>
      <c r="P50" s="6">
        <f>ROUND((Table2[[#This Row],[2023-24 CDS Payment]]-Table2[[#This Row],[TO/FROM cds]]),0)</f>
        <v>51140</v>
      </c>
      <c r="Q50" s="6">
        <v>0</v>
      </c>
      <c r="R50" s="6">
        <v>0</v>
      </c>
      <c r="S50" s="6"/>
      <c r="T50" s="6">
        <f>ROUND(SUM(Table2[[#This Row],[EX CARRYOVER PRIOR TO ADJUSTMENT]],Table2[[#This Row],[2023-24 EX Allocation]])-Table2[[#This Row],[EX Repurposed]],0)</f>
        <v>51140</v>
      </c>
      <c r="U50" s="6">
        <v>20963933</v>
      </c>
      <c r="V50" s="6">
        <v>366932</v>
      </c>
      <c r="W50" s="6">
        <v>2183067</v>
      </c>
      <c r="X50" s="6">
        <v>48000</v>
      </c>
      <c r="Y50" s="6">
        <v>0</v>
      </c>
      <c r="Z50" s="6">
        <f>ROUND(IF(Table2[[#This Row],[2023-24 BCTEA Approved]]-Table2[[#This Row],[2022-23 BCTEA To/from Carryover]]-Table2[[#This Row],[ex Repurposed to TO/FROM]]&gt;0,Table2[[#This Row],[2023-24 BCTEA Approved]]-Table2[[#This Row],[2022-23 BCTEA To/from Carryover]]-Table2[[#This Row],[ex Repurposed to TO/FROM]], "$0"),0)</f>
        <v>0</v>
      </c>
      <c r="AA50" s="158">
        <v>341</v>
      </c>
      <c r="AB50" s="6">
        <v>357</v>
      </c>
      <c r="AC50" s="6">
        <v>2121</v>
      </c>
      <c r="AD50" s="6">
        <v>47</v>
      </c>
      <c r="AE50" s="6">
        <v>2525</v>
      </c>
    </row>
    <row r="51" spans="1:31" x14ac:dyDescent="0.3">
      <c r="A51">
        <v>75</v>
      </c>
      <c r="B51" t="s">
        <v>271</v>
      </c>
      <c r="C51">
        <v>6340</v>
      </c>
      <c r="D51">
        <v>1448</v>
      </c>
      <c r="E51">
        <v>94</v>
      </c>
      <c r="F51">
        <v>0</v>
      </c>
      <c r="G51">
        <v>102294</v>
      </c>
      <c r="H51" s="154">
        <v>1205384</v>
      </c>
      <c r="I51" s="154">
        <v>1183869</v>
      </c>
      <c r="J51" s="154">
        <v>0</v>
      </c>
      <c r="K51" s="6">
        <v>33560</v>
      </c>
      <c r="L51" s="6"/>
      <c r="M51" s="6">
        <v>0</v>
      </c>
      <c r="N51" s="6">
        <v>13797</v>
      </c>
      <c r="O51" s="6">
        <v>13797</v>
      </c>
      <c r="P51" s="6">
        <f>ROUND((Table2[[#This Row],[2023-24 CDS Payment]]-Table2[[#This Row],[TO/FROM cds]]),0)</f>
        <v>13797</v>
      </c>
      <c r="Q51" s="6">
        <v>33560</v>
      </c>
      <c r="R51" s="6">
        <v>0</v>
      </c>
      <c r="S51" s="6"/>
      <c r="T51" s="6">
        <f>ROUND(SUM(Table2[[#This Row],[EX CARRYOVER PRIOR TO ADJUSTMENT]],Table2[[#This Row],[2023-24 EX Allocation]])-Table2[[#This Row],[EX Repurposed]],0)</f>
        <v>47357</v>
      </c>
      <c r="U51" s="6">
        <v>77079390</v>
      </c>
      <c r="V51" s="6">
        <v>188900</v>
      </c>
      <c r="W51" s="6">
        <v>1366823</v>
      </c>
      <c r="X51" s="6">
        <v>420000</v>
      </c>
      <c r="Y51" s="6">
        <v>0</v>
      </c>
      <c r="Z51" s="6">
        <f>ROUND(IF(Table2[[#This Row],[2023-24 BCTEA Approved]]-Table2[[#This Row],[2022-23 BCTEA To/from Carryover]]-Table2[[#This Row],[ex Repurposed to TO/FROM]]&gt;0,Table2[[#This Row],[2023-24 BCTEA Approved]]-Table2[[#This Row],[2022-23 BCTEA To/from Carryover]]-Table2[[#This Row],[ex Repurposed to TO/FROM]], "$0"),0)</f>
        <v>0</v>
      </c>
      <c r="AA51" s="158">
        <v>92</v>
      </c>
      <c r="AB51" s="6">
        <v>29</v>
      </c>
      <c r="AC51" s="6">
        <v>208</v>
      </c>
      <c r="AD51" s="6">
        <v>64</v>
      </c>
      <c r="AE51" s="6">
        <v>301</v>
      </c>
    </row>
    <row r="52" spans="1:31" x14ac:dyDescent="0.3">
      <c r="A52">
        <v>78</v>
      </c>
      <c r="B52" t="s">
        <v>270</v>
      </c>
      <c r="C52">
        <v>1737</v>
      </c>
      <c r="D52">
        <v>637</v>
      </c>
      <c r="E52">
        <v>249</v>
      </c>
      <c r="F52">
        <v>976</v>
      </c>
      <c r="G52">
        <v>971709</v>
      </c>
      <c r="H52" s="154">
        <v>980597</v>
      </c>
      <c r="I52" s="154">
        <v>1133702</v>
      </c>
      <c r="J52" s="154">
        <v>0</v>
      </c>
      <c r="K52" s="6">
        <v>70815</v>
      </c>
      <c r="L52" s="6"/>
      <c r="M52" s="6">
        <v>88021</v>
      </c>
      <c r="N52" s="6">
        <v>43791</v>
      </c>
      <c r="O52" s="6">
        <v>131812</v>
      </c>
      <c r="P52" s="6">
        <f>ROUND((Table2[[#This Row],[2023-24 CDS Payment]]-Table2[[#This Row],[TO/FROM cds]]),0)</f>
        <v>43791</v>
      </c>
      <c r="Q52" s="6">
        <v>70815</v>
      </c>
      <c r="R52" s="6">
        <v>0</v>
      </c>
      <c r="S52" s="6"/>
      <c r="T52" s="6">
        <f>ROUND(SUM(Table2[[#This Row],[EX CARRYOVER PRIOR TO ADJUSTMENT]],Table2[[#This Row],[2023-24 EX Allocation]])-Table2[[#This Row],[EX Repurposed]],0)</f>
        <v>114606</v>
      </c>
      <c r="U52" s="6">
        <v>25976666</v>
      </c>
      <c r="V52" s="6">
        <v>184576</v>
      </c>
      <c r="W52" s="6">
        <v>1139425</v>
      </c>
      <c r="X52" s="6">
        <v>123000</v>
      </c>
      <c r="Y52" s="6">
        <v>0</v>
      </c>
      <c r="Z52" s="6">
        <f>ROUND(IF(Table2[[#This Row],[2023-24 BCTEA Approved]]-Table2[[#This Row],[2022-23 BCTEA To/from Carryover]]-Table2[[#This Row],[ex Repurposed to TO/FROM]]&gt;0,Table2[[#This Row],[2023-24 BCTEA Approved]]-Table2[[#This Row],[2022-23 BCTEA To/from Carryover]]-Table2[[#This Row],[ex Repurposed to TO/FROM]], "$0"),0)</f>
        <v>88021</v>
      </c>
      <c r="AA52" s="158">
        <v>292</v>
      </c>
      <c r="AB52" s="6">
        <v>107</v>
      </c>
      <c r="AC52" s="6">
        <v>662</v>
      </c>
      <c r="AD52" s="6">
        <v>71</v>
      </c>
      <c r="AE52" s="6">
        <v>840</v>
      </c>
    </row>
    <row r="53" spans="1:31" x14ac:dyDescent="0.3">
      <c r="A53">
        <v>79</v>
      </c>
      <c r="B53" t="s">
        <v>269</v>
      </c>
      <c r="C53">
        <v>8919</v>
      </c>
      <c r="D53">
        <v>4367</v>
      </c>
      <c r="E53">
        <v>595</v>
      </c>
      <c r="F53">
        <v>2617</v>
      </c>
      <c r="G53">
        <v>313513</v>
      </c>
      <c r="H53" s="154">
        <v>2783803</v>
      </c>
      <c r="I53" s="154">
        <v>3112174</v>
      </c>
      <c r="J53" s="154">
        <v>127944</v>
      </c>
      <c r="K53" s="6">
        <v>176072</v>
      </c>
      <c r="L53" s="6"/>
      <c r="M53" s="6">
        <v>349724</v>
      </c>
      <c r="N53" s="6">
        <v>79784</v>
      </c>
      <c r="O53" s="6">
        <v>222136</v>
      </c>
      <c r="P53" s="6">
        <f>ROUND((Table2[[#This Row],[2023-24 CDS Payment]]-Table2[[#This Row],[TO/FROM cds]]),0)</f>
        <v>79784</v>
      </c>
      <c r="Q53" s="6">
        <v>255500</v>
      </c>
      <c r="R53" s="6">
        <v>79428</v>
      </c>
      <c r="S53" s="6"/>
      <c r="T53" s="6">
        <f>ROUND(SUM(Table2[[#This Row],[EX CARRYOVER PRIOR TO ADJUSTMENT]],Table2[[#This Row],[2023-24 EX Allocation]])-Table2[[#This Row],[EX Repurposed]],0)</f>
        <v>255856</v>
      </c>
      <c r="U53" s="6">
        <v>98779730</v>
      </c>
      <c r="V53" s="6">
        <v>283524</v>
      </c>
      <c r="W53" s="6">
        <v>2169902</v>
      </c>
      <c r="X53" s="6">
        <v>542000</v>
      </c>
      <c r="Y53" s="6">
        <v>79428</v>
      </c>
      <c r="Z53" s="6">
        <f>ROUND(IF(Table2[[#This Row],[2023-24 BCTEA Approved]]-Table2[[#This Row],[2022-23 BCTEA To/from Carryover]]-Table2[[#This Row],[ex Repurposed to TO/FROM]]&gt;0,Table2[[#This Row],[2023-24 BCTEA Approved]]-Table2[[#This Row],[2022-23 BCTEA To/from Carryover]]-Table2[[#This Row],[ex Repurposed to TO/FROM]], "$0"),0)</f>
        <v>142352</v>
      </c>
      <c r="AA53" s="158">
        <v>532</v>
      </c>
      <c r="AB53" s="6">
        <v>33</v>
      </c>
      <c r="AC53" s="6">
        <v>253</v>
      </c>
      <c r="AD53" s="6">
        <v>63</v>
      </c>
      <c r="AE53" s="6">
        <v>349</v>
      </c>
    </row>
    <row r="54" spans="1:31" x14ac:dyDescent="0.3">
      <c r="A54">
        <v>81</v>
      </c>
      <c r="B54" t="s">
        <v>268</v>
      </c>
      <c r="C54">
        <v>630</v>
      </c>
      <c r="D54">
        <v>355</v>
      </c>
      <c r="E54">
        <v>35</v>
      </c>
      <c r="F54">
        <v>745</v>
      </c>
      <c r="G54">
        <v>64655</v>
      </c>
      <c r="H54" s="154">
        <v>391673</v>
      </c>
      <c r="I54" s="154">
        <v>449873</v>
      </c>
      <c r="J54" s="154">
        <v>34812</v>
      </c>
      <c r="K54" s="6">
        <v>0</v>
      </c>
      <c r="L54" s="6"/>
      <c r="M54" s="6">
        <v>138672</v>
      </c>
      <c r="N54" s="6">
        <v>5099</v>
      </c>
      <c r="O54" s="6">
        <v>108959</v>
      </c>
      <c r="P54" s="6">
        <f>ROUND((Table2[[#This Row],[2023-24 CDS Payment]]-Table2[[#This Row],[TO/FROM cds]]),0)</f>
        <v>5099</v>
      </c>
      <c r="Q54" s="6">
        <v>0</v>
      </c>
      <c r="R54" s="6">
        <v>0</v>
      </c>
      <c r="S54" s="6"/>
      <c r="T54" s="6">
        <f>ROUND(SUM(Table2[[#This Row],[EX CARRYOVER PRIOR TO ADJUSTMENT]],Table2[[#This Row],[2023-24 EX Allocation]])-Table2[[#This Row],[EX Repurposed]],0)</f>
        <v>5099</v>
      </c>
      <c r="U54" s="6">
        <v>10622313</v>
      </c>
      <c r="V54" s="6">
        <v>32744</v>
      </c>
      <c r="W54" s="6">
        <v>161863</v>
      </c>
      <c r="X54" s="6">
        <v>32000</v>
      </c>
      <c r="Y54" s="6">
        <v>0</v>
      </c>
      <c r="Z54" s="6">
        <f>ROUND(IF(Table2[[#This Row],[2023-24 BCTEA Approved]]-Table2[[#This Row],[2022-23 BCTEA To/from Carryover]]-Table2[[#This Row],[ex Repurposed to TO/FROM]]&gt;0,Table2[[#This Row],[2023-24 BCTEA Approved]]-Table2[[#This Row],[2022-23 BCTEA To/from Carryover]]-Table2[[#This Row],[ex Repurposed to TO/FROM]], "$0"),0)</f>
        <v>103860</v>
      </c>
      <c r="AA54" s="158">
        <v>34</v>
      </c>
      <c r="AB54" s="6">
        <v>50</v>
      </c>
      <c r="AC54" s="6">
        <v>247</v>
      </c>
      <c r="AD54" s="6">
        <v>49</v>
      </c>
      <c r="AE54" s="6">
        <v>346</v>
      </c>
    </row>
    <row r="55" spans="1:31" x14ac:dyDescent="0.3">
      <c r="A55">
        <v>82</v>
      </c>
      <c r="B55" t="s">
        <v>267</v>
      </c>
      <c r="C55">
        <v>4244</v>
      </c>
      <c r="D55">
        <v>1597</v>
      </c>
      <c r="E55">
        <v>577</v>
      </c>
      <c r="F55">
        <v>3404</v>
      </c>
      <c r="G55">
        <v>1465124</v>
      </c>
      <c r="H55" s="154">
        <v>2511297</v>
      </c>
      <c r="I55" s="154">
        <v>2494976</v>
      </c>
      <c r="J55" s="154">
        <v>16955</v>
      </c>
      <c r="K55" s="6">
        <v>134911</v>
      </c>
      <c r="L55" s="6"/>
      <c r="M55" s="6">
        <v>0</v>
      </c>
      <c r="N55" s="6">
        <v>82334</v>
      </c>
      <c r="O55" s="6">
        <v>0</v>
      </c>
      <c r="P55" s="6">
        <f>ROUND((Table2[[#This Row],[2023-24 CDS Payment]]-Table2[[#This Row],[TO/FROM cds]]),0)</f>
        <v>0</v>
      </c>
      <c r="Q55" s="6">
        <v>134911</v>
      </c>
      <c r="R55" s="6">
        <v>0</v>
      </c>
      <c r="S55" s="6"/>
      <c r="T55" s="6">
        <f>ROUND(SUM(Table2[[#This Row],[EX CARRYOVER PRIOR TO ADJUSTMENT]],Table2[[#This Row],[2023-24 EX Allocation]])-Table2[[#This Row],[EX Repurposed]],0)</f>
        <v>217245</v>
      </c>
      <c r="U55" s="6">
        <v>56071769</v>
      </c>
      <c r="V55" s="6">
        <v>557786</v>
      </c>
      <c r="W55" s="6">
        <v>3101225</v>
      </c>
      <c r="X55" s="6">
        <v>234000</v>
      </c>
      <c r="Y55" s="6">
        <v>0</v>
      </c>
      <c r="Z55" s="6">
        <f>ROUND(IF(Table2[[#This Row],[2023-24 BCTEA Approved]]-Table2[[#This Row],[2022-23 BCTEA To/from Carryover]]-Table2[[#This Row],[ex Repurposed to TO/FROM]]&gt;0,Table2[[#This Row],[2023-24 BCTEA Approved]]-Table2[[#This Row],[2022-23 BCTEA To/from Carryover]]-Table2[[#This Row],[ex Repurposed to TO/FROM]], "$0"),0)</f>
        <v>0</v>
      </c>
      <c r="AA55" s="158">
        <v>549</v>
      </c>
      <c r="AB55" s="6">
        <v>133</v>
      </c>
      <c r="AC55" s="6">
        <v>737</v>
      </c>
      <c r="AD55" s="6">
        <v>56</v>
      </c>
      <c r="AE55" s="6">
        <v>926</v>
      </c>
    </row>
    <row r="56" spans="1:31" x14ac:dyDescent="0.3">
      <c r="A56">
        <v>83</v>
      </c>
      <c r="B56" t="s">
        <v>266</v>
      </c>
      <c r="C56">
        <v>6755</v>
      </c>
      <c r="D56">
        <v>2800</v>
      </c>
      <c r="E56">
        <v>110</v>
      </c>
      <c r="F56">
        <v>6542</v>
      </c>
      <c r="G56">
        <v>180255</v>
      </c>
      <c r="H56" s="154">
        <v>3623301</v>
      </c>
      <c r="I56" s="154">
        <v>3618570</v>
      </c>
      <c r="J56" s="154">
        <v>2015</v>
      </c>
      <c r="K56" s="6">
        <v>31196</v>
      </c>
      <c r="L56" s="6"/>
      <c r="M56" s="6">
        <v>31810</v>
      </c>
      <c r="N56" s="6">
        <v>16647</v>
      </c>
      <c r="O56" s="6">
        <v>59194</v>
      </c>
      <c r="P56" s="6">
        <f>ROUND((Table2[[#This Row],[2023-24 CDS Payment]]-Table2[[#This Row],[TO/FROM cds]]),0)</f>
        <v>29399</v>
      </c>
      <c r="Q56" s="6">
        <v>31196</v>
      </c>
      <c r="R56" s="6">
        <v>0</v>
      </c>
      <c r="S56" s="6"/>
      <c r="T56" s="6">
        <f>ROUND(SUM(Table2[[#This Row],[EX CARRYOVER PRIOR TO ADJUSTMENT]],Table2[[#This Row],[2023-24 EX Allocation]])-Table2[[#This Row],[EX Repurposed]],0)</f>
        <v>47843</v>
      </c>
      <c r="U56" s="6">
        <v>85261216</v>
      </c>
      <c r="V56" s="6">
        <v>561925</v>
      </c>
      <c r="W56" s="6">
        <v>4563632</v>
      </c>
      <c r="X56" s="6">
        <v>485000</v>
      </c>
      <c r="Y56" s="6">
        <v>0</v>
      </c>
      <c r="Z56" s="6">
        <f>ROUND(IF(Table2[[#This Row],[2023-24 BCTEA Approved]]-Table2[[#This Row],[2022-23 BCTEA To/from Carryover]]-Table2[[#This Row],[ex Repurposed to TO/FROM]]&gt;0,Table2[[#This Row],[2023-24 BCTEA Approved]]-Table2[[#This Row],[2022-23 BCTEA To/from Carryover]]-Table2[[#This Row],[ex Repurposed to TO/FROM]], "$0"),0)</f>
        <v>29795</v>
      </c>
      <c r="AA56" s="158">
        <v>111</v>
      </c>
      <c r="AB56" s="6">
        <v>83</v>
      </c>
      <c r="AC56" s="6">
        <v>675</v>
      </c>
      <c r="AD56" s="6">
        <v>72</v>
      </c>
      <c r="AE56" s="6">
        <v>830</v>
      </c>
    </row>
    <row r="57" spans="1:31" x14ac:dyDescent="0.3">
      <c r="A57">
        <v>84</v>
      </c>
      <c r="B57" t="s">
        <v>265</v>
      </c>
      <c r="C57">
        <v>319</v>
      </c>
      <c r="D57">
        <v>84</v>
      </c>
      <c r="E57">
        <v>84</v>
      </c>
      <c r="F57">
        <v>46</v>
      </c>
      <c r="G57">
        <v>139593</v>
      </c>
      <c r="H57" s="154">
        <v>107354</v>
      </c>
      <c r="I57" s="154">
        <v>164393</v>
      </c>
      <c r="J57" s="154">
        <v>0</v>
      </c>
      <c r="K57" s="6">
        <v>0</v>
      </c>
      <c r="L57" s="6"/>
      <c r="M57" s="6">
        <v>0</v>
      </c>
      <c r="N57" s="6">
        <v>12448</v>
      </c>
      <c r="O57" s="6">
        <v>12448</v>
      </c>
      <c r="P57" s="6">
        <f>ROUND((Table2[[#This Row],[2023-24 CDS Payment]]-Table2[[#This Row],[TO/FROM cds]]),0)</f>
        <v>12448</v>
      </c>
      <c r="Q57" s="6">
        <v>0</v>
      </c>
      <c r="R57" s="6">
        <v>0</v>
      </c>
      <c r="S57" s="6"/>
      <c r="T57" s="6">
        <f>ROUND(SUM(Table2[[#This Row],[EX CARRYOVER PRIOR TO ADJUSTMENT]],Table2[[#This Row],[2023-24 EX Allocation]])-Table2[[#This Row],[EX Repurposed]],0)</f>
        <v>12448</v>
      </c>
      <c r="U57" s="6">
        <v>10086985</v>
      </c>
      <c r="V57" s="6">
        <v>57593</v>
      </c>
      <c r="W57" s="6">
        <v>305299</v>
      </c>
      <c r="X57" s="6">
        <v>24000</v>
      </c>
      <c r="Y57" s="6">
        <v>0</v>
      </c>
      <c r="Z57" s="6">
        <f>ROUND(IF(Table2[[#This Row],[2023-24 BCTEA Approved]]-Table2[[#This Row],[2022-23 BCTEA To/from Carryover]]-Table2[[#This Row],[ex Repurposed to TO/FROM]]&gt;0,Table2[[#This Row],[2023-24 BCTEA Approved]]-Table2[[#This Row],[2022-23 BCTEA To/from Carryover]]-Table2[[#This Row],[ex Repurposed to TO/FROM]], "$0"),0)</f>
        <v>0</v>
      </c>
      <c r="AA57" s="158">
        <v>83</v>
      </c>
      <c r="AB57" s="6">
        <v>185</v>
      </c>
      <c r="AC57" s="6">
        <v>979</v>
      </c>
      <c r="AD57" s="6">
        <v>77</v>
      </c>
      <c r="AE57" s="6">
        <v>1241</v>
      </c>
    </row>
    <row r="58" spans="1:31" x14ac:dyDescent="0.3">
      <c r="A58">
        <v>85</v>
      </c>
      <c r="B58" t="s">
        <v>264</v>
      </c>
      <c r="C58">
        <v>1275.625</v>
      </c>
      <c r="D58">
        <v>750</v>
      </c>
      <c r="E58">
        <v>240</v>
      </c>
      <c r="F58">
        <v>923</v>
      </c>
      <c r="G58">
        <v>265238</v>
      </c>
      <c r="H58" s="154">
        <v>626042</v>
      </c>
      <c r="I58" s="154">
        <v>642370</v>
      </c>
      <c r="J58" s="154">
        <v>0</v>
      </c>
      <c r="K58" s="6">
        <v>0</v>
      </c>
      <c r="L58" s="6"/>
      <c r="M58" s="6">
        <v>41320</v>
      </c>
      <c r="N58" s="6">
        <v>27744</v>
      </c>
      <c r="O58" s="6">
        <v>69064</v>
      </c>
      <c r="P58" s="6">
        <f>ROUND((Table2[[#This Row],[2023-24 CDS Payment]]-Table2[[#This Row],[TO/FROM cds]]),0)</f>
        <v>27744</v>
      </c>
      <c r="Q58" s="6">
        <v>0</v>
      </c>
      <c r="R58" s="6">
        <v>0</v>
      </c>
      <c r="S58" s="6"/>
      <c r="T58" s="6">
        <f>ROUND(SUM(Table2[[#This Row],[EX CARRYOVER PRIOR TO ADJUSTMENT]],Table2[[#This Row],[2023-24 EX Allocation]])-Table2[[#This Row],[EX Repurposed]],0)</f>
        <v>27744</v>
      </c>
      <c r="U58" s="6">
        <v>20441274</v>
      </c>
      <c r="V58" s="6">
        <v>118179</v>
      </c>
      <c r="W58" s="6">
        <v>812355</v>
      </c>
      <c r="X58" s="6">
        <v>88000</v>
      </c>
      <c r="Y58" s="6">
        <v>0</v>
      </c>
      <c r="Z58" s="6">
        <f>ROUND(IF(Table2[[#This Row],[2023-24 BCTEA Approved]]-Table2[[#This Row],[2022-23 BCTEA To/from Carryover]]-Table2[[#This Row],[ex Repurposed to TO/FROM]]&gt;0,Table2[[#This Row],[2023-24 BCTEA Approved]]-Table2[[#This Row],[2022-23 BCTEA To/from Carryover]]-Table2[[#This Row],[ex Repurposed to TO/FROM]], "$0"),0)</f>
        <v>41320</v>
      </c>
      <c r="AA58" s="158">
        <v>185</v>
      </c>
      <c r="AB58" s="6">
        <v>94</v>
      </c>
      <c r="AC58" s="6">
        <v>648</v>
      </c>
      <c r="AD58" s="6">
        <v>70</v>
      </c>
      <c r="AE58" s="6">
        <v>812</v>
      </c>
    </row>
    <row r="59" spans="1:31" x14ac:dyDescent="0.3">
      <c r="A59">
        <v>87</v>
      </c>
      <c r="B59" t="s">
        <v>263</v>
      </c>
      <c r="C59">
        <v>171</v>
      </c>
      <c r="D59">
        <v>102</v>
      </c>
      <c r="E59">
        <v>94</v>
      </c>
      <c r="F59">
        <v>472</v>
      </c>
      <c r="G59">
        <v>349454</v>
      </c>
      <c r="H59" s="154">
        <v>567812</v>
      </c>
      <c r="I59" s="154">
        <v>0</v>
      </c>
      <c r="J59" s="154">
        <v>17098</v>
      </c>
      <c r="K59" s="6">
        <v>0</v>
      </c>
      <c r="L59" s="6"/>
      <c r="M59" s="6">
        <v>7696</v>
      </c>
      <c r="N59" s="6">
        <v>10198</v>
      </c>
      <c r="O59" s="6">
        <v>10198</v>
      </c>
      <c r="P59" s="6">
        <f>ROUND((Table2[[#This Row],[2023-24 CDS Payment]]-Table2[[#This Row],[TO/FROM cds]]),0)</f>
        <v>10198</v>
      </c>
      <c r="Q59" s="6">
        <v>0</v>
      </c>
      <c r="R59" s="6">
        <v>0</v>
      </c>
      <c r="S59" s="6"/>
      <c r="T59" s="6">
        <f>ROUND(SUM(Table2[[#This Row],[EX CARRYOVER PRIOR TO ADJUSTMENT]],Table2[[#This Row],[2023-24 EX Allocation]])-Table2[[#This Row],[EX Repurposed]],0)</f>
        <v>10198</v>
      </c>
      <c r="U59" s="6">
        <v>6534487</v>
      </c>
      <c r="V59" s="6">
        <v>51181</v>
      </c>
      <c r="W59" s="6">
        <v>289360</v>
      </c>
      <c r="X59" s="6">
        <v>11000</v>
      </c>
      <c r="Y59" s="6">
        <v>0</v>
      </c>
      <c r="Z59" s="6">
        <f>ROUND(IF(Table2[[#This Row],[2023-24 BCTEA Approved]]-Table2[[#This Row],[2022-23 BCTEA To/from Carryover]]-Table2[[#This Row],[ex Repurposed to TO/FROM]]&gt;0,Table2[[#This Row],[2023-24 BCTEA Approved]]-Table2[[#This Row],[2022-23 BCTEA To/from Carryover]]-Table2[[#This Row],[ex Repurposed to TO/FROM]], "$0"),0)</f>
        <v>0</v>
      </c>
      <c r="AA59" s="158">
        <v>68</v>
      </c>
      <c r="AB59" s="6">
        <v>271</v>
      </c>
      <c r="AC59" s="6">
        <v>1534</v>
      </c>
      <c r="AD59" s="6">
        <v>58</v>
      </c>
      <c r="AE59" s="6">
        <v>1863</v>
      </c>
    </row>
    <row r="60" spans="1:31" x14ac:dyDescent="0.3">
      <c r="A60">
        <v>91</v>
      </c>
      <c r="B60" t="s">
        <v>262</v>
      </c>
      <c r="C60">
        <v>3468.5</v>
      </c>
      <c r="D60">
        <v>1530</v>
      </c>
      <c r="E60">
        <v>367</v>
      </c>
      <c r="F60">
        <v>4680</v>
      </c>
      <c r="G60">
        <v>750494</v>
      </c>
      <c r="H60" s="154">
        <v>2917116</v>
      </c>
      <c r="I60" s="154">
        <v>2857602</v>
      </c>
      <c r="J60" s="154">
        <v>117466</v>
      </c>
      <c r="K60" s="6">
        <v>137645</v>
      </c>
      <c r="L60" s="6"/>
      <c r="M60" s="6">
        <v>129598</v>
      </c>
      <c r="N60" s="6">
        <v>58788</v>
      </c>
      <c r="O60" s="6">
        <v>0</v>
      </c>
      <c r="P60" s="6">
        <f>ROUND((Table2[[#This Row],[2023-24 CDS Payment]]-Table2[[#This Row],[TO/FROM cds]]),0)</f>
        <v>0</v>
      </c>
      <c r="Q60" s="6">
        <v>208565</v>
      </c>
      <c r="R60" s="6">
        <v>70920</v>
      </c>
      <c r="S60" s="6">
        <v>58788</v>
      </c>
      <c r="T60" s="6">
        <f>ROUND(SUM(Table2[[#This Row],[EX CARRYOVER PRIOR TO ADJUSTMENT]],Table2[[#This Row],[2023-24 EX Allocation]])-Table2[[#This Row],[EX Repurposed]],0)</f>
        <v>196433</v>
      </c>
      <c r="U60" s="6">
        <v>56985310</v>
      </c>
      <c r="V60" s="6">
        <v>503247</v>
      </c>
      <c r="W60" s="6">
        <v>3638973</v>
      </c>
      <c r="X60" s="6">
        <v>459000</v>
      </c>
      <c r="Y60" s="6">
        <v>12132</v>
      </c>
      <c r="Z60" s="6">
        <f>ROUND(IF(Table2[[#This Row],[2023-24 BCTEA Approved]]-Table2[[#This Row],[2022-23 BCTEA To/from Carryover]]-Table2[[#This Row],[ex Repurposed to TO/FROM]]&gt;0,Table2[[#This Row],[2023-24 BCTEA Approved]]-Table2[[#This Row],[2022-23 BCTEA To/from Carryover]]-Table2[[#This Row],[ex Repurposed to TO/FROM]], "$0"),0)</f>
        <v>0</v>
      </c>
      <c r="AA60" s="158">
        <v>392</v>
      </c>
      <c r="AB60" s="6">
        <v>141</v>
      </c>
      <c r="AC60" s="6">
        <v>1021</v>
      </c>
      <c r="AD60" s="6">
        <v>129</v>
      </c>
      <c r="AE60" s="6">
        <v>1291</v>
      </c>
    </row>
    <row r="61" spans="1:31" x14ac:dyDescent="0.3">
      <c r="A61">
        <v>92</v>
      </c>
      <c r="B61" t="s">
        <v>261</v>
      </c>
      <c r="H61" s="154">
        <v>261383</v>
      </c>
      <c r="I61" s="154">
        <v>391000</v>
      </c>
      <c r="J61" s="154"/>
      <c r="K61" s="6"/>
      <c r="L61" s="6"/>
      <c r="M61" s="6"/>
      <c r="N61" s="6">
        <v>0</v>
      </c>
      <c r="O61" s="6">
        <v>0</v>
      </c>
      <c r="P61" s="6">
        <f>ROUND((Table2[[#This Row],[2023-24 CDS Payment]]-Table2[[#This Row],[TO/FROM cds]]),0)</f>
        <v>0</v>
      </c>
      <c r="Q61" s="6"/>
      <c r="R61" s="6">
        <v>0</v>
      </c>
      <c r="S61" s="6"/>
      <c r="T61" s="6">
        <f>ROUND(SUM(Table2[[#This Row],[EX CARRYOVER PRIOR TO ADJUSTMENT]],Table2[[#This Row],[2023-24 EX Allocation]])-Table2[[#This Row],[EX Repurposed]],0)</f>
        <v>0</v>
      </c>
      <c r="U61" s="6">
        <v>9046500</v>
      </c>
      <c r="V61" s="6">
        <v>130091</v>
      </c>
      <c r="W61" s="6">
        <v>819743</v>
      </c>
      <c r="X61" s="6">
        <v>11000</v>
      </c>
      <c r="Y61" s="6">
        <v>0</v>
      </c>
      <c r="Z61" s="6">
        <f>ROUND(IF(Table2[[#This Row],[2023-24 BCTEA Approved]]-Table2[[#This Row],[2022-23 BCTEA To/from Carryover]]-Table2[[#This Row],[ex Repurposed to TO/FROM]]&gt;0,Table2[[#This Row],[2023-24 BCTEA Approved]]-Table2[[#This Row],[2022-23 BCTEA To/from Carryover]]-Table2[[#This Row],[ex Repurposed to TO/FROM]], "$0"),0)</f>
        <v>0</v>
      </c>
      <c r="AB61" s="6">
        <v>363</v>
      </c>
      <c r="AC61" s="6">
        <v>2287</v>
      </c>
      <c r="AD61" s="6">
        <v>31</v>
      </c>
      <c r="AE61" s="6">
        <v>2681</v>
      </c>
    </row>
    <row r="62" spans="1:31" x14ac:dyDescent="0.3">
      <c r="A62">
        <v>93</v>
      </c>
      <c r="B62" t="s">
        <v>353</v>
      </c>
      <c r="C62">
        <v>6240</v>
      </c>
      <c r="D62">
        <v>4623</v>
      </c>
      <c r="E62">
        <v>6</v>
      </c>
      <c r="F62">
        <v>6341</v>
      </c>
      <c r="G62">
        <v>1300</v>
      </c>
      <c r="H62" s="154">
        <v>9561356</v>
      </c>
      <c r="I62" s="154">
        <v>10352817</v>
      </c>
      <c r="J62" s="154">
        <v>0</v>
      </c>
      <c r="K62" s="6">
        <v>0</v>
      </c>
      <c r="L62" s="6"/>
      <c r="M62" s="6">
        <v>0</v>
      </c>
      <c r="N62" s="6">
        <v>600</v>
      </c>
      <c r="O62" s="6">
        <v>600</v>
      </c>
      <c r="P62" s="6">
        <f>ROUND((Table2[[#This Row],[2023-24 CDS Payment]]-Table2[[#This Row],[TO/FROM cds]]),0)</f>
        <v>600</v>
      </c>
      <c r="Q62" s="6">
        <v>0</v>
      </c>
      <c r="R62" s="6">
        <v>0</v>
      </c>
      <c r="S62" s="6"/>
      <c r="T62" s="6">
        <f>ROUND(SUM(Table2[[#This Row],[EX CARRYOVER PRIOR TO ADJUSTMENT]],Table2[[#This Row],[2023-24 EX Allocation]])-Table2[[#This Row],[EX Repurposed]],0)</f>
        <v>600</v>
      </c>
      <c r="U62" s="6">
        <v>105124811</v>
      </c>
      <c r="V62" s="6">
        <v>750415</v>
      </c>
      <c r="W62" s="6">
        <v>5753440</v>
      </c>
      <c r="X62" s="6">
        <v>181000</v>
      </c>
      <c r="Y62" s="6">
        <v>0</v>
      </c>
      <c r="Z62" s="6">
        <f>ROUND(IF(Table2[[#This Row],[2023-24 BCTEA Approved]]-Table2[[#This Row],[2022-23 BCTEA To/from Carryover]]-Table2[[#This Row],[ex Repurposed to TO/FROM]]&gt;0,Table2[[#This Row],[2023-24 BCTEA Approved]]-Table2[[#This Row],[2022-23 BCTEA To/from Carryover]]-Table2[[#This Row],[ex Repurposed to TO/FROM]], "$0"),0)</f>
        <v>0</v>
      </c>
      <c r="AA62" s="158">
        <v>4</v>
      </c>
      <c r="AB62" s="6">
        <v>120</v>
      </c>
      <c r="AC62" s="6">
        <v>924</v>
      </c>
      <c r="AD62" s="6">
        <v>29</v>
      </c>
      <c r="AE62" s="6">
        <v>1073</v>
      </c>
    </row>
    <row r="63" spans="1:31" x14ac:dyDescent="0.3">
      <c r="H63" s="154"/>
      <c r="I63" s="154"/>
      <c r="J63" s="154"/>
      <c r="K63" s="6"/>
      <c r="L63" s="6"/>
      <c r="M63" s="6"/>
      <c r="N63" s="6"/>
      <c r="O63" s="6"/>
      <c r="P63" s="6"/>
      <c r="Q63" s="6"/>
      <c r="R63" s="6"/>
      <c r="S63" s="6"/>
      <c r="T63" s="6">
        <f>ROUND(SUM(Table2[[#This Row],[EX CARRYOVER PRIOR TO ADJUSTMENT]],Table2[[#This Row],[2023-24 EX Allocation]])-Table2[[#This Row],[EX Repurposed]],0)</f>
        <v>0</v>
      </c>
      <c r="U63" s="6"/>
      <c r="V63" s="6"/>
      <c r="W63" s="6"/>
      <c r="X63" s="6"/>
      <c r="Y63" s="6"/>
      <c r="Z63" s="6">
        <f>ROUND(IF(Table2[[#This Row],[2023-24 BCTEA Approved]]-Table2[[#This Row],[2022-23 BCTEA To/from Carryover]]-Table2[[#This Row],[ex Repurposed to TO/FROM]]&gt;0,Table2[[#This Row],[2023-24 BCTEA Approved]]-Table2[[#This Row],[2022-23 BCTEA To/from Carryover]]-Table2[[#This Row],[ex Repurposed to TO/FROM]], "$0"),0)</f>
        <v>0</v>
      </c>
      <c r="AB63" s="6"/>
      <c r="AC63" s="6"/>
      <c r="AD63" s="6"/>
      <c r="AE63" s="6"/>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82D16F4375A649BD0847D4D8BBFC22" ma:contentTypeVersion="49" ma:contentTypeDescription="Create a new document." ma:contentTypeScope="" ma:versionID="201c871988466d08d016de6e71336f4a">
  <xsd:schema xmlns:xsd="http://www.w3.org/2001/XMLSchema" xmlns:xs="http://www.w3.org/2001/XMLSchema" xmlns:p="http://schemas.microsoft.com/office/2006/metadata/properties" xmlns:ns2="24ca4954-836e-4dd6-806d-d2cdcf695e13" xmlns:ns3="6fe9af5a-ed8a-4244-928d-e56d06aad847" targetNamespace="http://schemas.microsoft.com/office/2006/metadata/properties" ma:root="true" ma:fieldsID="d89b63a5b33492118e1b138bd82e8379" ns2:_="" ns3:_="">
    <xsd:import namespace="24ca4954-836e-4dd6-806d-d2cdcf695e13"/>
    <xsd:import namespace="6fe9af5a-ed8a-4244-928d-e56d06aad847"/>
    <xsd:element name="properties">
      <xsd:complexType>
        <xsd:sequence>
          <xsd:element name="documentManagement">
            <xsd:complexType>
              <xsd:all>
                <xsd:element ref="ns2:desc" minOccurs="0"/>
                <xsd:element ref="ns2:history" minOccurs="0"/>
                <xsd:element ref="ns2:info" minOccurs="0"/>
                <xsd:element ref="ns2:formAnswers" minOccurs="0"/>
                <xsd:element ref="ns2:otherNumber" minOccurs="0"/>
                <xsd:element ref="ns2:uniqueMinistryId" minOccurs="0"/>
                <xsd:element ref="ns2:subcategory" minOccurs="0"/>
                <xsd:element ref="ns2:parentGuid" minOccurs="0"/>
                <xsd:element ref="ns2:folderName" minOccurs="0"/>
                <xsd:element ref="ns2:due" minOccurs="0"/>
                <xsd:element ref="ns2:createdOn" minOccurs="0"/>
                <xsd:element ref="ns2:completedOn" minOccurs="0"/>
                <xsd:element ref="ns2:whenToArchive" minOccurs="0"/>
                <xsd:element ref="ns2:rush" minOccurs="0"/>
                <xsd:element ref="ns2:blueprintVersion" minOccurs="0"/>
                <xsd:element ref="ns2:pos" minOccurs="0"/>
                <xsd:element ref="ns2:entityType" minOccurs="0"/>
                <xsd:element ref="ns2:branch" minOccurs="0"/>
                <xsd:element ref="ns2:color" minOccurs="0"/>
                <xsd:element ref="ns2:formVersion" minOccurs="0"/>
                <xsd:element ref="ns2:blueprint" minOccurs="0"/>
                <xsd:element ref="ns2:assignedToG" minOccurs="0"/>
                <xsd:element ref="ns2:assignedToGroups" minOccurs="0"/>
                <xsd:element ref="ns2:mediator" minOccurs="0"/>
                <xsd:element ref="ns2:assignedToSiteUser" minOccurs="0"/>
                <xsd:element ref="ns2:colleaguesG" minOccurs="0"/>
                <xsd:element ref="ns2:watchersG" minOccurs="0"/>
                <xsd:element ref="ns2:groupWatchers" minOccurs="0"/>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CR" minOccurs="0"/>
                <xsd:element ref="ns2:MediaServiceDateTaken" minOccurs="0"/>
                <xsd:element ref="ns2:MediaServiceSearchProperties" minOccurs="0"/>
                <xsd:element ref="ns2:MediaServiceLocation" minOccurs="0"/>
                <xsd:element ref="ns2:documentStringNames" minOccurs="0"/>
                <xsd:element ref="ns2:crossMinistry" minOccurs="0"/>
                <xsd:element ref="ns2:minist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a4954-836e-4dd6-806d-d2cdcf695e13" elementFormDefault="qualified">
    <xsd:import namespace="http://schemas.microsoft.com/office/2006/documentManagement/types"/>
    <xsd:import namespace="http://schemas.microsoft.com/office/infopath/2007/PartnerControls"/>
    <xsd:element name="desc" ma:index="8" nillable="true" ma:displayName="desc" ma:internalName="desc">
      <xsd:simpleType>
        <xsd:restriction base="dms:Note">
          <xsd:maxLength value="255"/>
        </xsd:restriction>
      </xsd:simpleType>
    </xsd:element>
    <xsd:element name="history" ma:index="9" nillable="true" ma:displayName="history" ma:internalName="history">
      <xsd:simpleType>
        <xsd:restriction base="dms:Note">
          <xsd:maxLength value="255"/>
        </xsd:restriction>
      </xsd:simpleType>
    </xsd:element>
    <xsd:element name="info" ma:index="10" nillable="true" ma:displayName="info" ma:internalName="info">
      <xsd:simpleType>
        <xsd:restriction base="dms:Note">
          <xsd:maxLength value="255"/>
        </xsd:restriction>
      </xsd:simpleType>
    </xsd:element>
    <xsd:element name="formAnswers" ma:index="11" nillable="true" ma:displayName="formAnswers" ma:internalName="formAnswers">
      <xsd:simpleType>
        <xsd:restriction base="dms:Note">
          <xsd:maxLength value="255"/>
        </xsd:restriction>
      </xsd:simpleType>
    </xsd:element>
    <xsd:element name="otherNumber" ma:index="12" nillable="true" ma:displayName="otherNumber" ma:indexed="true" ma:internalName="otherNumber">
      <xsd:simpleType>
        <xsd:restriction base="dms:Text">
          <xsd:maxLength value="255"/>
        </xsd:restriction>
      </xsd:simpleType>
    </xsd:element>
    <xsd:element name="uniqueMinistryId" ma:index="13" nillable="true" ma:displayName="uniqueMinistryId" ma:indexed="true" ma:internalName="uniqueMinistryId">
      <xsd:simpleType>
        <xsd:restriction base="dms:Text">
          <xsd:maxLength value="255"/>
        </xsd:restriction>
      </xsd:simpleType>
    </xsd:element>
    <xsd:element name="subcategory" ma:index="14" nillable="true" ma:displayName="subcategory" ma:indexed="true" ma:internalName="subcategory">
      <xsd:simpleType>
        <xsd:restriction base="dms:Text">
          <xsd:maxLength value="255"/>
        </xsd:restriction>
      </xsd:simpleType>
    </xsd:element>
    <xsd:element name="parentGuid" ma:index="15" nillable="true" ma:displayName="parentGuid" ma:internalName="parentGuid">
      <xsd:simpleType>
        <xsd:restriction base="dms:Text">
          <xsd:maxLength value="255"/>
        </xsd:restriction>
      </xsd:simpleType>
    </xsd:element>
    <xsd:element name="folderName" ma:index="16" nillable="true" ma:displayName="folderName" ma:internalName="folderName">
      <xsd:simpleType>
        <xsd:restriction base="dms:Text">
          <xsd:maxLength value="255"/>
        </xsd:restriction>
      </xsd:simpleType>
    </xsd:element>
    <xsd:element name="due" ma:index="17" nillable="true" ma:displayName="due" ma:format="DateOnly" ma:internalName="due">
      <xsd:simpleType>
        <xsd:restriction base="dms:DateTime"/>
      </xsd:simpleType>
    </xsd:element>
    <xsd:element name="createdOn" ma:index="18" nillable="true" ma:displayName="createdOn" ma:format="DateOnly" ma:internalName="createdOn">
      <xsd:simpleType>
        <xsd:restriction base="dms:DateTime"/>
      </xsd:simpleType>
    </xsd:element>
    <xsd:element name="completedOn" ma:index="19" nillable="true" ma:displayName="completedOn" ma:format="DateOnly" ma:internalName="completedOn">
      <xsd:simpleType>
        <xsd:restriction base="dms:DateTime"/>
      </xsd:simpleType>
    </xsd:element>
    <xsd:element name="whenToArchive" ma:index="20" nillable="true" ma:displayName="whenToArchive" ma:format="DateOnly" ma:indexed="true" ma:internalName="whenToArchive">
      <xsd:simpleType>
        <xsd:restriction base="dms:DateTime"/>
      </xsd:simpleType>
    </xsd:element>
    <xsd:element name="rush" ma:index="21" nillable="true" ma:displayName="rush" ma:indexed="true" ma:internalName="rush">
      <xsd:simpleType>
        <xsd:restriction base="dms:Number"/>
      </xsd:simpleType>
    </xsd:element>
    <xsd:element name="blueprintVersion" ma:index="22" nillable="true" ma:displayName="blueprintVersion" ma:internalName="blueprintVersion">
      <xsd:simpleType>
        <xsd:restriction base="dms:Number"/>
      </xsd:simpleType>
    </xsd:element>
    <xsd:element name="pos" ma:index="23" nillable="true" ma:displayName="pos" ma:internalName="pos">
      <xsd:simpleType>
        <xsd:restriction base="dms:Number"/>
      </xsd:simpleType>
    </xsd:element>
    <xsd:element name="entityType" ma:index="24" nillable="true" ma:displayName="entityType" ma:indexed="true" ma:internalName="entityType">
      <xsd:simpleType>
        <xsd:restriction base="dms:Number"/>
      </xsd:simpleType>
    </xsd:element>
    <xsd:element name="branch" ma:index="25" nillable="true" ma:displayName="branch" ma:indexed="true" ma:list="{22398C44-67A3-4674-AD04-511FEACE7D0F}" ma:internalName="branch" ma:showField="ID">
      <xsd:simpleType>
        <xsd:restriction base="dms:Lookup"/>
      </xsd:simpleType>
    </xsd:element>
    <xsd:element name="color" ma:index="26" nillable="true" ma:displayName="color" ma:list="{B3B746B2-7247-467A-9F9A-791039112B8C}" ma:internalName="color" ma:showField="ID">
      <xsd:simpleType>
        <xsd:restriction base="dms:Lookup"/>
      </xsd:simpleType>
    </xsd:element>
    <xsd:element name="formVersion" ma:index="27" nillable="true" ma:displayName="formVersion" ma:list="{BF261706-87C6-4441-83A8-9D5AF7AC8548}" ma:internalName="formVersion" ma:showField="ID">
      <xsd:simpleType>
        <xsd:restriction base="dms:Lookup"/>
      </xsd:simpleType>
    </xsd:element>
    <xsd:element name="blueprint" ma:index="28" nillable="true" ma:displayName="blueprint" ma:list="{F4BE805F-DAB4-4628-9BCF-5745BBC9A5AA}" ma:internalName="blueprint" ma:showField="ID">
      <xsd:simpleType>
        <xsd:restriction base="dms:Lookup"/>
      </xsd:simpleType>
    </xsd:element>
    <xsd:element name="assignedToG" ma:index="29" nillable="true" ma:displayName="assignedToG" ma:indexed="true" ma:list="{C8BFF6DD-6C28-4F22-90F9-77385803A830}" ma:internalName="assignedToG" ma:readOnly="false" ma:showField="Title">
      <xsd:simpleType>
        <xsd:restriction base="dms:Lookup"/>
      </xsd:simpleType>
    </xsd:element>
    <xsd:element name="assignedToGroups" ma:index="30" nillable="true" ma:displayName="assignedToGroups" ma:list="UserInfo" ma:SearchPeopleOnly="false" ma:internalName="assignedTo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tor" ma:index="31" nillable="true" ma:displayName="mediator" ma:list="UserInfo" ma:SearchPeopleOnly="false" ma:internalName="medi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signedToSiteUser" ma:index="32" nillable="true" ma:displayName="assignedToSiteUser" ma:indexed="true" ma:list="UserInfo" ma:internalName="assignedToSiteUs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lleaguesG" ma:index="33" nillable="true" ma:displayName="colleaguesG" ma:list="{C8BFF6DD-6C28-4F22-90F9-77385803A830}" ma:internalName="colleagues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watchersG" ma:index="34" nillable="true" ma:displayName="watchersG" ma:list="{C8BFF6DD-6C28-4F22-90F9-77385803A830}" ma:internalName="watchers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groupWatchers" ma:index="35" nillable="true" ma:displayName="groupWatchers" ma:list="UserInfo" ma:SearchPeopleOnly="false" ma:internalName="groupWat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36" nillable="true" ma:displayName="MediaServiceMetadata" ma:hidden="true" ma:internalName="MediaServiceMetadata" ma:readOnly="true">
      <xsd:simpleType>
        <xsd:restriction base="dms:Note"/>
      </xsd:simpleType>
    </xsd:element>
    <xsd:element name="MediaServiceFastMetadata" ma:index="37" nillable="true" ma:displayName="MediaServiceFastMetadata" ma:hidden="true" ma:internalName="MediaServiceFastMetadata" ma:readOnly="true">
      <xsd:simpleType>
        <xsd:restriction base="dms:Note"/>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a9b50559-7390-452f-8d4d-780c6c1e431b" ma:termSetId="09814cd3-568e-fe90-9814-8d621ff8fb84" ma:anchorId="fba54fb3-c3e1-fe81-a776-ca4b69148c4d" ma:open="true" ma:isKeyword="false">
      <xsd:complexType>
        <xsd:sequence>
          <xsd:element ref="pc:Terms" minOccurs="0" maxOccurs="1"/>
        </xsd:sequence>
      </xsd:complex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LengthInSeconds" ma:index="46" nillable="true" ma:displayName="MediaLengthInSeconds" ma:hidden="true" ma:internalName="MediaLengthInSeconds" ma:readOnly="true">
      <xsd:simpleType>
        <xsd:restriction base="dms:Unknown"/>
      </xsd:simpleType>
    </xsd:element>
    <xsd:element name="MediaServiceOCR" ma:index="47" nillable="true" ma:displayName="Extracted Text" ma:internalName="MediaServiceOCR" ma:readOnly="true">
      <xsd:simpleType>
        <xsd:restriction base="dms:Note">
          <xsd:maxLength value="255"/>
        </xsd:restriction>
      </xsd:simpleType>
    </xsd:element>
    <xsd:element name="MediaServiceDateTaken" ma:index="48" nillable="true" ma:displayName="MediaServiceDateTaken" ma:hidden="true" ma:indexed="true" ma:internalName="MediaServiceDateTaken" ma:readOnly="true">
      <xsd:simpleType>
        <xsd:restriction base="dms:Text"/>
      </xsd:simpleType>
    </xsd:element>
    <xsd:element name="MediaServiceSearchProperties" ma:index="49" nillable="true" ma:displayName="MediaServiceSearchProperties" ma:hidden="true" ma:internalName="MediaServiceSearchProperties" ma:readOnly="true">
      <xsd:simpleType>
        <xsd:restriction base="dms:Note"/>
      </xsd:simpleType>
    </xsd:element>
    <xsd:element name="MediaServiceLocation" ma:index="50" nillable="true" ma:displayName="Location" ma:indexed="true" ma:internalName="MediaServiceLocation" ma:readOnly="true">
      <xsd:simpleType>
        <xsd:restriction base="dms:Text"/>
      </xsd:simpleType>
    </xsd:element>
    <xsd:element name="documentStringNames" ma:index="51" nillable="true" ma:displayName="documentStringNames" ma:internalName="documentStringNames">
      <xsd:simpleType>
        <xsd:restriction base="dms:Note">
          <xsd:maxLength value="255"/>
        </xsd:restriction>
      </xsd:simpleType>
    </xsd:element>
    <xsd:element name="crossMinistry" ma:index="52" nillable="true" ma:displayName="crossMinistry" ma:internalName="crossMinistry">
      <xsd:simpleType>
        <xsd:restriction base="dms:Number"/>
      </xsd:simpleType>
    </xsd:element>
    <xsd:element name="ministries" ma:index="53" nillable="true" ma:displayName="ministries" ma:list="{E8535DDF-3CC1-4F0A-9FC3-EDCC4C1918B4}" ma:internalName="ministries" ma:showField="I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e9af5a-ed8a-4244-928d-e56d06aad847" elementFormDefault="qualified">
    <xsd:import namespace="http://schemas.microsoft.com/office/2006/documentManagement/types"/>
    <xsd:import namespace="http://schemas.microsoft.com/office/infopath/2007/PartnerControls"/>
    <xsd:element name="TaxCatchAll" ma:index="41" nillable="true" ma:displayName="Taxonomy Catch All Column" ma:hidden="true" ma:list="{66428770-232f-4c77-9a39-a6fce1c18297}" ma:internalName="TaxCatchAll" ma:showField="CatchAllData" ma:web="6fe9af5a-ed8a-4244-928d-e56d06aad847">
      <xsd:complexType>
        <xsd:complexContent>
          <xsd:extension base="dms:MultiChoiceLookup">
            <xsd:sequence>
              <xsd:element name="Value" type="dms:Lookup" maxOccurs="unbounded" minOccurs="0" nillable="true"/>
            </xsd:sequence>
          </xsd:extension>
        </xsd:complexContent>
      </xsd:complexType>
    </xsd:element>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lor xmlns="24ca4954-836e-4dd6-806d-d2cdcf695e13" xsi:nil="true"/>
    <otherNumber xmlns="24ca4954-836e-4dd6-806d-d2cdcf695e13" xsi:nil="true"/>
    <pos xmlns="24ca4954-836e-4dd6-806d-d2cdcf695e13">131070</pos>
    <mediator xmlns="24ca4954-836e-4dd6-806d-d2cdcf695e13">
      <UserInfo>
        <DisplayName/>
        <AccountId xsi:nil="true"/>
        <AccountType/>
      </UserInfo>
    </mediator>
    <colleaguesG xmlns="24ca4954-836e-4dd6-806d-d2cdcf695e13" xsi:nil="true"/>
    <parentGuid xmlns="24ca4954-836e-4dd6-806d-d2cdcf695e13" xsi:nil="true"/>
    <watchersG xmlns="24ca4954-836e-4dd6-806d-d2cdcf695e13" xsi:nil="true"/>
    <history xmlns="24ca4954-836e-4dd6-806d-d2cdcf695e13" xsi:nil="true"/>
    <rush xmlns="24ca4954-836e-4dd6-806d-d2cdcf695e13" xsi:nil="true"/>
    <completedOn xmlns="24ca4954-836e-4dd6-806d-d2cdcf695e13" xsi:nil="true"/>
    <info xmlns="24ca4954-836e-4dd6-806d-d2cdcf695e13" xsi:nil="true"/>
    <subcategory xmlns="24ca4954-836e-4dd6-806d-d2cdcf695e13" xsi:nil="true"/>
    <uniqueMinistryId xmlns="24ca4954-836e-4dd6-806d-d2cdcf695e13" xsi:nil="true"/>
    <TaxCatchAll xmlns="6fe9af5a-ed8a-4244-928d-e56d06aad847" xsi:nil="true"/>
    <folderName xmlns="24ca4954-836e-4dd6-806d-d2cdcf695e13" xsi:nil="true"/>
    <branch xmlns="24ca4954-836e-4dd6-806d-d2cdcf695e13" xsi:nil="true"/>
    <assignedToGroups xmlns="24ca4954-836e-4dd6-806d-d2cdcf695e13">
      <UserInfo>
        <DisplayName/>
        <AccountId xsi:nil="true"/>
        <AccountType/>
      </UserInfo>
    </assignedToGroups>
    <desc xmlns="24ca4954-836e-4dd6-806d-d2cdcf695e13" xsi:nil="true"/>
    <documentStringNames xmlns="24ca4954-836e-4dd6-806d-d2cdcf695e13" xsi:nil="true"/>
    <ministries xmlns="24ca4954-836e-4dd6-806d-d2cdcf695e13" xsi:nil="true"/>
    <crossMinistry xmlns="24ca4954-836e-4dd6-806d-d2cdcf695e13" xsi:nil="true"/>
    <entityType xmlns="24ca4954-836e-4dd6-806d-d2cdcf695e13">4</entityType>
    <formAnswers xmlns="24ca4954-836e-4dd6-806d-d2cdcf695e13" xsi:nil="true"/>
    <whenToArchive xmlns="24ca4954-836e-4dd6-806d-d2cdcf695e13" xsi:nil="true"/>
    <blueprintVersion xmlns="24ca4954-836e-4dd6-806d-d2cdcf695e13" xsi:nil="true"/>
    <formVersion xmlns="24ca4954-836e-4dd6-806d-d2cdcf695e13" xsi:nil="true"/>
    <assignedToSiteUser xmlns="24ca4954-836e-4dd6-806d-d2cdcf695e13">
      <UserInfo>
        <DisplayName/>
        <AccountId xsi:nil="true"/>
        <AccountType/>
      </UserInfo>
    </assignedToSiteUser>
    <lcf76f155ced4ddcb4097134ff3c332f xmlns="24ca4954-836e-4dd6-806d-d2cdcf695e13">
      <Terms xmlns="http://schemas.microsoft.com/office/infopath/2007/PartnerControls"/>
    </lcf76f155ced4ddcb4097134ff3c332f>
    <blueprint xmlns="24ca4954-836e-4dd6-806d-d2cdcf695e13" xsi:nil="true"/>
    <due xmlns="24ca4954-836e-4dd6-806d-d2cdcf695e13" xsi:nil="true"/>
    <createdOn xmlns="24ca4954-836e-4dd6-806d-d2cdcf695e13" xsi:nil="true"/>
    <groupWatchers xmlns="24ca4954-836e-4dd6-806d-d2cdcf695e13">
      <UserInfo>
        <DisplayName/>
        <AccountId xsi:nil="true"/>
        <AccountType/>
      </UserInfo>
    </groupWatchers>
    <assignedToG xmlns="24ca4954-836e-4dd6-806d-d2cdcf695e1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F4E90D-31D1-4CBD-A5AC-13D34B00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ca4954-836e-4dd6-806d-d2cdcf695e13"/>
    <ds:schemaRef ds:uri="6fe9af5a-ed8a-4244-928d-e56d06aad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1022A3-286F-4EF1-BA0D-F8D1C598C3FF}">
  <ds:schemaRefs>
    <ds:schemaRef ds:uri="http://schemas.microsoft.com/office/2006/documentManagement/types"/>
    <ds:schemaRef ds:uri="http://schemas.microsoft.com/office/infopath/2007/PartnerControls"/>
    <ds:schemaRef ds:uri="6fe9af5a-ed8a-4244-928d-e56d06aad847"/>
    <ds:schemaRef ds:uri="http://www.w3.org/XML/1998/namespace"/>
    <ds:schemaRef ds:uri="http://schemas.openxmlformats.org/package/2006/metadata/core-properties"/>
    <ds:schemaRef ds:uri="http://purl.org/dc/elements/1.1/"/>
    <ds:schemaRef ds:uri="http://purl.org/dc/terms/"/>
    <ds:schemaRef ds:uri="http://purl.org/dc/dcmitype/"/>
    <ds:schemaRef ds:uri="24ca4954-836e-4dd6-806d-d2cdcf695e13"/>
    <ds:schemaRef ds:uri="http://schemas.microsoft.com/office/2006/metadata/properties"/>
  </ds:schemaRefs>
</ds:datastoreItem>
</file>

<file path=customXml/itemProps3.xml><?xml version="1.0" encoding="utf-8"?>
<ds:datastoreItem xmlns:ds="http://schemas.openxmlformats.org/officeDocument/2006/customXml" ds:itemID="{49741500-E9F2-4A14-B569-744C34692F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Signature Tab</vt:lpstr>
      <vt:lpstr>(1) Spending Report  </vt:lpstr>
      <vt:lpstr>(1.1) Revenue-Spending Example</vt:lpstr>
      <vt:lpstr>(2) Extracurricular Report</vt:lpstr>
      <vt:lpstr>(2.1) Extracurricular Example</vt:lpstr>
      <vt:lpstr>(3) Reference STF-SLF-SSLF</vt:lpstr>
      <vt:lpstr>Data Reported</vt:lpstr>
      <vt:lpstr>Auto Populate Table</vt:lpstr>
      <vt:lpstr>'(1) Spending Report  '!Print_Area</vt:lpstr>
      <vt:lpstr>'(1.1) Revenue-Spending Example'!Print_Area</vt:lpstr>
      <vt:lpstr>'(2) Extracurricular Report'!Print_Area</vt:lpstr>
      <vt:lpstr>'(2.1) Extracurricular Example'!Print_Area</vt:lpstr>
      <vt:lpstr>'Signature Tab'!Print_Area</vt:lpstr>
      <vt:lpstr>'(1) Spending Report  '!Print_Titles</vt:lpstr>
      <vt:lpstr>'(1.1) Revenue-Spending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Alonzo, Sheila EDUC:EX</dc:creator>
  <cp:lastModifiedBy>DeSchutter, Nicole ECC:EX</cp:lastModifiedBy>
  <cp:lastPrinted>2023-01-24T00:10:32Z</cp:lastPrinted>
  <dcterms:created xsi:type="dcterms:W3CDTF">2022-02-10T18:32:56Z</dcterms:created>
  <dcterms:modified xsi:type="dcterms:W3CDTF">2024-04-30T17:59:15Z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0x0101007982D16F4375A649BD0847D4D8BBFC22</vt:lpwstr>
  </property>
  <property fmtid="{D5CDD505-2E9C-101B-9397-08002B2CF9AE}" pid="3" name="MediaServiceImageTags">
    <vt:lpwstr/>
  </property>
</Properties>
</file>