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cgov.sharepoint.com/teams/10417-BCTEATransportation/Shared Documents/BCTEA Transportation/2026-27 BCTEA Transportation/"/>
    </mc:Choice>
  </mc:AlternateContent>
  <xr:revisionPtr revIDLastSave="557" documentId="8_{55276763-316E-45C7-9FF0-75FC29800B69}" xr6:coauthVersionLast="47" xr6:coauthVersionMax="47" xr10:uidLastSave="{5D520009-3AE5-4D3E-9A8B-E7F9CDDC5C82}"/>
  <workbookProtection workbookAlgorithmName="SHA-512" workbookHashValue="sMKZsArPgJq5JdAuiWKCZ6vnWryacZNgXKV4j1nWR7Qkb3rQgXAL1REjrRB4q1twQ44LiXqb+t5slJHgtekF4g==" workbookSaltValue="AEKWzPRtvfdQjRa54o0SOQ==" workbookSpinCount="100000" lockStructure="1"/>
  <bookViews>
    <workbookView xWindow="-108" yWindow="-108" windowWidth="23256" windowHeight="13896" tabRatio="740" firstSheet="1" activeTab="1" xr2:uid="{09A24CBF-C95F-46E4-8D16-367CE0965080}"/>
  </bookViews>
  <sheets>
    <sheet name="Signature Tab" sheetId="21" r:id="rId1"/>
    <sheet name="(1) Transportation Report " sheetId="35" r:id="rId2"/>
    <sheet name="(1.1) Transp. Report Example" sheetId="40" r:id="rId3"/>
    <sheet name="(2) Instructions" sheetId="38" r:id="rId4"/>
    <sheet name="(1.1) Revenue-Spending Example" sheetId="30" state="hidden" r:id="rId5"/>
    <sheet name="(3) Reference STF-SLF-SSLF" sheetId="39" r:id="rId6"/>
    <sheet name="Data Reported" sheetId="15" state="hidden" r:id="rId7"/>
    <sheet name="Auto Populate Table" sheetId="32" state="hidden" r:id="rId8"/>
    <sheet name="Sheet1" sheetId="33" state="hidden" r:id="rId9"/>
  </sheets>
  <definedNames>
    <definedName name="_xlnm.Print_Area" localSheetId="1">'(1) Transportation Report '!$A$1:$H$28</definedName>
    <definedName name="_xlnm.Print_Area" localSheetId="4">'(1.1) Revenue-Spending Example'!$A$1:$I$54</definedName>
    <definedName name="_xlnm.Print_Area" localSheetId="2">'(1.1) Transp. Report Example'!$A$1:$H$28</definedName>
    <definedName name="_xlnm.Print_Area" localSheetId="5">'(3) Reference STF-SLF-SSLF'!$A$1:$R$67</definedName>
    <definedName name="_xlnm.Print_Area" localSheetId="0">'Signature Tab'!$A$1:$C$25</definedName>
    <definedName name="_xlnm.Print_Titles" localSheetId="1">'(1) Transportation Report '!$1:$1</definedName>
    <definedName name="_xlnm.Print_Titles" localSheetId="4">'(1.1) Revenue-Spending Example'!$1:$1</definedName>
    <definedName name="_xlnm.Print_Titles" localSheetId="2">'(1.1) Transp. Report Example'!$1:$1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5" l="1"/>
  <c r="D24" i="15" s="1"/>
  <c r="D22" i="15"/>
  <c r="D18" i="15"/>
  <c r="D17" i="15"/>
  <c r="D8" i="15"/>
  <c r="D7" i="15"/>
  <c r="D6" i="15"/>
  <c r="D5" i="15"/>
  <c r="D4" i="15"/>
  <c r="D3" i="15"/>
  <c r="D2" i="15"/>
  <c r="D26" i="35"/>
  <c r="D19" i="15" s="1"/>
  <c r="Q2" i="32"/>
  <c r="Q3" i="32"/>
  <c r="Q4" i="32"/>
  <c r="Q5" i="32"/>
  <c r="Q6" i="32"/>
  <c r="Q7" i="32"/>
  <c r="Q8" i="32"/>
  <c r="Q9" i="32"/>
  <c r="Q10" i="32"/>
  <c r="Q11" i="32"/>
  <c r="Q12" i="32"/>
  <c r="Q13" i="32"/>
  <c r="Q14" i="32"/>
  <c r="Q15" i="32"/>
  <c r="Q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N64" i="32"/>
  <c r="U64" i="32"/>
  <c r="T64" i="32"/>
  <c r="D22" i="40"/>
  <c r="D21" i="40"/>
  <c r="D20" i="40"/>
  <c r="F18" i="40"/>
  <c r="E18" i="40"/>
  <c r="D18" i="40"/>
  <c r="D23" i="40" s="1"/>
  <c r="H28" i="40"/>
  <c r="E26" i="40"/>
  <c r="F26" i="40" s="1"/>
  <c r="H26" i="40" s="1"/>
  <c r="E2" i="40"/>
  <c r="E26" i="35"/>
  <c r="D18" i="35"/>
  <c r="D10" i="15" s="1"/>
  <c r="R63" i="32"/>
  <c r="F18" i="35"/>
  <c r="D16" i="15" s="1"/>
  <c r="E18" i="35"/>
  <c r="D15" i="15" s="1"/>
  <c r="D22" i="35"/>
  <c r="D13" i="15" s="1"/>
  <c r="D21" i="35"/>
  <c r="D12" i="15" s="1"/>
  <c r="D20" i="35"/>
  <c r="D11" i="15" s="1"/>
  <c r="E2" i="35"/>
  <c r="F7" i="39"/>
  <c r="G7" i="39" s="1"/>
  <c r="J7" i="39"/>
  <c r="K7" i="39" s="1"/>
  <c r="N7" i="39"/>
  <c r="O7" i="39" s="1"/>
  <c r="F8" i="39"/>
  <c r="G8" i="39"/>
  <c r="J8" i="39"/>
  <c r="K8" i="39"/>
  <c r="N8" i="39"/>
  <c r="O8" i="39" s="1"/>
  <c r="F9" i="39"/>
  <c r="G9" i="39"/>
  <c r="J9" i="39"/>
  <c r="K9" i="39" s="1"/>
  <c r="N9" i="39"/>
  <c r="O9" i="39"/>
  <c r="F10" i="39"/>
  <c r="Q10" i="39" s="1"/>
  <c r="R10" i="39" s="1"/>
  <c r="G10" i="39"/>
  <c r="J10" i="39"/>
  <c r="K10" i="39" s="1"/>
  <c r="N10" i="39"/>
  <c r="O10" i="39" s="1"/>
  <c r="F11" i="39"/>
  <c r="G11" i="39" s="1"/>
  <c r="J11" i="39"/>
  <c r="K11" i="39"/>
  <c r="N11" i="39"/>
  <c r="O11" i="39"/>
  <c r="Q11" i="39"/>
  <c r="R11" i="39"/>
  <c r="F12" i="39"/>
  <c r="Q12" i="39" s="1"/>
  <c r="R12" i="39" s="1"/>
  <c r="J12" i="39"/>
  <c r="K12" i="39" s="1"/>
  <c r="N12" i="39"/>
  <c r="O12" i="39" s="1"/>
  <c r="F13" i="39"/>
  <c r="G13" i="39"/>
  <c r="J13" i="39"/>
  <c r="K13" i="39"/>
  <c r="N13" i="39"/>
  <c r="O13" i="39"/>
  <c r="Q13" i="39"/>
  <c r="R13" i="39" s="1"/>
  <c r="F14" i="39"/>
  <c r="G14" i="39" s="1"/>
  <c r="J14" i="39"/>
  <c r="K14" i="39"/>
  <c r="N14" i="39"/>
  <c r="O14" i="39" s="1"/>
  <c r="F15" i="39"/>
  <c r="G15" i="39"/>
  <c r="J15" i="39"/>
  <c r="K15" i="39"/>
  <c r="N15" i="39"/>
  <c r="O15" i="39" s="1"/>
  <c r="F16" i="39"/>
  <c r="G16" i="39"/>
  <c r="J16" i="39"/>
  <c r="K16" i="39" s="1"/>
  <c r="N16" i="39"/>
  <c r="O16" i="39"/>
  <c r="F17" i="39"/>
  <c r="Q17" i="39" s="1"/>
  <c r="R17" i="39" s="1"/>
  <c r="G17" i="39"/>
  <c r="J17" i="39"/>
  <c r="K17" i="39" s="1"/>
  <c r="N17" i="39"/>
  <c r="O17" i="39" s="1"/>
  <c r="F18" i="39"/>
  <c r="G18" i="39" s="1"/>
  <c r="J18" i="39"/>
  <c r="K18" i="39"/>
  <c r="N18" i="39"/>
  <c r="O18" i="39"/>
  <c r="Q18" i="39"/>
  <c r="R18" i="39"/>
  <c r="F19" i="39"/>
  <c r="Q19" i="39" s="1"/>
  <c r="R19" i="39" s="1"/>
  <c r="J19" i="39"/>
  <c r="K19" i="39" s="1"/>
  <c r="N19" i="39"/>
  <c r="O19" i="39" s="1"/>
  <c r="F20" i="39"/>
  <c r="G20" i="39"/>
  <c r="J20" i="39"/>
  <c r="K20" i="39"/>
  <c r="N20" i="39"/>
  <c r="O20" i="39"/>
  <c r="Q20" i="39"/>
  <c r="R20" i="39" s="1"/>
  <c r="F21" i="39"/>
  <c r="G21" i="39" s="1"/>
  <c r="J21" i="39"/>
  <c r="K21" i="39" s="1"/>
  <c r="N21" i="39"/>
  <c r="O21" i="39" s="1"/>
  <c r="F22" i="39"/>
  <c r="G22" i="39"/>
  <c r="J22" i="39"/>
  <c r="K22" i="39"/>
  <c r="N22" i="39"/>
  <c r="O22" i="39" s="1"/>
  <c r="F23" i="39"/>
  <c r="G23" i="39" s="1"/>
  <c r="J23" i="39"/>
  <c r="K23" i="39" s="1"/>
  <c r="N23" i="39"/>
  <c r="O23" i="39"/>
  <c r="Q23" i="39"/>
  <c r="R23" i="39"/>
  <c r="F24" i="39"/>
  <c r="Q24" i="39" s="1"/>
  <c r="R24" i="39" s="1"/>
  <c r="G24" i="39"/>
  <c r="J24" i="39"/>
  <c r="K24" i="39" s="1"/>
  <c r="N24" i="39"/>
  <c r="O24" i="39" s="1"/>
  <c r="F25" i="39"/>
  <c r="G25" i="39" s="1"/>
  <c r="J25" i="39"/>
  <c r="K25" i="39"/>
  <c r="N25" i="39"/>
  <c r="O25" i="39"/>
  <c r="Q25" i="39"/>
  <c r="R25" i="39"/>
  <c r="F26" i="39"/>
  <c r="Q26" i="39" s="1"/>
  <c r="R26" i="39" s="1"/>
  <c r="J26" i="39"/>
  <c r="K26" i="39" s="1"/>
  <c r="N26" i="39"/>
  <c r="O26" i="39" s="1"/>
  <c r="F27" i="39"/>
  <c r="G27" i="39"/>
  <c r="J27" i="39"/>
  <c r="K27" i="39"/>
  <c r="N27" i="39"/>
  <c r="O27" i="39"/>
  <c r="Q27" i="39"/>
  <c r="R27" i="39" s="1"/>
  <c r="F28" i="39"/>
  <c r="G28" i="39" s="1"/>
  <c r="J28" i="39"/>
  <c r="K28" i="39" s="1"/>
  <c r="N28" i="39"/>
  <c r="O28" i="39" s="1"/>
  <c r="F29" i="39"/>
  <c r="G29" i="39"/>
  <c r="J29" i="39"/>
  <c r="K29" i="39"/>
  <c r="N29" i="39"/>
  <c r="O29" i="39" s="1"/>
  <c r="F30" i="39"/>
  <c r="G30" i="39" s="1"/>
  <c r="J30" i="39"/>
  <c r="K30" i="39" s="1"/>
  <c r="N30" i="39"/>
  <c r="O30" i="39"/>
  <c r="Q30" i="39"/>
  <c r="R30" i="39"/>
  <c r="F31" i="39"/>
  <c r="Q31" i="39" s="1"/>
  <c r="R31" i="39" s="1"/>
  <c r="G31" i="39"/>
  <c r="J31" i="39"/>
  <c r="K31" i="39" s="1"/>
  <c r="N31" i="39"/>
  <c r="O31" i="39" s="1"/>
  <c r="F32" i="39"/>
  <c r="G32" i="39" s="1"/>
  <c r="J32" i="39"/>
  <c r="K32" i="39"/>
  <c r="N32" i="39"/>
  <c r="O32" i="39"/>
  <c r="Q32" i="39"/>
  <c r="R32" i="39"/>
  <c r="F33" i="39"/>
  <c r="Q33" i="39" s="1"/>
  <c r="R33" i="39" s="1"/>
  <c r="J33" i="39"/>
  <c r="K33" i="39" s="1"/>
  <c r="N33" i="39"/>
  <c r="O33" i="39" s="1"/>
  <c r="F34" i="39"/>
  <c r="G34" i="39"/>
  <c r="J34" i="39"/>
  <c r="K34" i="39"/>
  <c r="N34" i="39"/>
  <c r="O34" i="39"/>
  <c r="Q34" i="39"/>
  <c r="R34" i="39" s="1"/>
  <c r="F35" i="39"/>
  <c r="G35" i="39" s="1"/>
  <c r="J35" i="39"/>
  <c r="K35" i="39" s="1"/>
  <c r="N35" i="39"/>
  <c r="O35" i="39" s="1"/>
  <c r="F36" i="39"/>
  <c r="G36" i="39"/>
  <c r="J36" i="39"/>
  <c r="K36" i="39"/>
  <c r="N36" i="39"/>
  <c r="O36" i="39" s="1"/>
  <c r="F37" i="39"/>
  <c r="G37" i="39" s="1"/>
  <c r="J37" i="39"/>
  <c r="K37" i="39" s="1"/>
  <c r="N37" i="39"/>
  <c r="O37" i="39"/>
  <c r="Q37" i="39"/>
  <c r="R37" i="39"/>
  <c r="F38" i="39"/>
  <c r="Q38" i="39" s="1"/>
  <c r="R38" i="39" s="1"/>
  <c r="G38" i="39"/>
  <c r="J38" i="39"/>
  <c r="K38" i="39" s="1"/>
  <c r="N38" i="39"/>
  <c r="O38" i="39" s="1"/>
  <c r="F39" i="39"/>
  <c r="G39" i="39" s="1"/>
  <c r="J39" i="39"/>
  <c r="K39" i="39"/>
  <c r="N39" i="39"/>
  <c r="O39" i="39"/>
  <c r="Q39" i="39"/>
  <c r="R39" i="39"/>
  <c r="F40" i="39"/>
  <c r="Q40" i="39" s="1"/>
  <c r="R40" i="39" s="1"/>
  <c r="J40" i="39"/>
  <c r="K40" i="39" s="1"/>
  <c r="N40" i="39"/>
  <c r="O40" i="39" s="1"/>
  <c r="F41" i="39"/>
  <c r="G41" i="39"/>
  <c r="J41" i="39"/>
  <c r="K41" i="39"/>
  <c r="N41" i="39"/>
  <c r="O41" i="39"/>
  <c r="Q41" i="39"/>
  <c r="R41" i="39" s="1"/>
  <c r="F42" i="39"/>
  <c r="G42" i="39" s="1"/>
  <c r="J42" i="39"/>
  <c r="K42" i="39" s="1"/>
  <c r="N42" i="39"/>
  <c r="O42" i="39" s="1"/>
  <c r="F43" i="39"/>
  <c r="G43" i="39"/>
  <c r="J43" i="39"/>
  <c r="K43" i="39"/>
  <c r="N43" i="39"/>
  <c r="O43" i="39" s="1"/>
  <c r="F44" i="39"/>
  <c r="G44" i="39" s="1"/>
  <c r="J44" i="39"/>
  <c r="K44" i="39" s="1"/>
  <c r="N44" i="39"/>
  <c r="O44" i="39"/>
  <c r="Q44" i="39"/>
  <c r="R44" i="39"/>
  <c r="F45" i="39"/>
  <c r="Q45" i="39" s="1"/>
  <c r="R45" i="39" s="1"/>
  <c r="G45" i="39"/>
  <c r="J45" i="39"/>
  <c r="K45" i="39" s="1"/>
  <c r="N45" i="39"/>
  <c r="O45" i="39" s="1"/>
  <c r="F46" i="39"/>
  <c r="G46" i="39" s="1"/>
  <c r="J46" i="39"/>
  <c r="K46" i="39"/>
  <c r="N46" i="39"/>
  <c r="O46" i="39"/>
  <c r="Q46" i="39"/>
  <c r="R46" i="39"/>
  <c r="F47" i="39"/>
  <c r="Q47" i="39" s="1"/>
  <c r="R47" i="39" s="1"/>
  <c r="J47" i="39"/>
  <c r="K47" i="39" s="1"/>
  <c r="N47" i="39"/>
  <c r="O47" i="39" s="1"/>
  <c r="F48" i="39"/>
  <c r="G48" i="39"/>
  <c r="J48" i="39"/>
  <c r="K48" i="39"/>
  <c r="N48" i="39"/>
  <c r="O48" i="39"/>
  <c r="Q48" i="39"/>
  <c r="R48" i="39" s="1"/>
  <c r="F49" i="39"/>
  <c r="G49" i="39" s="1"/>
  <c r="J49" i="39"/>
  <c r="K49" i="39" s="1"/>
  <c r="N49" i="39"/>
  <c r="O49" i="39" s="1"/>
  <c r="F50" i="39"/>
  <c r="G50" i="39"/>
  <c r="J50" i="39"/>
  <c r="K50" i="39"/>
  <c r="N50" i="39"/>
  <c r="O50" i="39" s="1"/>
  <c r="Q50" i="39"/>
  <c r="R50" i="39" s="1"/>
  <c r="F51" i="39"/>
  <c r="G51" i="39" s="1"/>
  <c r="J51" i="39"/>
  <c r="K51" i="39" s="1"/>
  <c r="N51" i="39"/>
  <c r="O51" i="39"/>
  <c r="Q51" i="39"/>
  <c r="R51" i="39"/>
  <c r="F52" i="39"/>
  <c r="Q52" i="39" s="1"/>
  <c r="R52" i="39" s="1"/>
  <c r="G52" i="39"/>
  <c r="J52" i="39"/>
  <c r="K52" i="39" s="1"/>
  <c r="N52" i="39"/>
  <c r="O52" i="39" s="1"/>
  <c r="F53" i="39"/>
  <c r="G53" i="39" s="1"/>
  <c r="J53" i="39"/>
  <c r="K53" i="39"/>
  <c r="N53" i="39"/>
  <c r="O53" i="39"/>
  <c r="Q53" i="39"/>
  <c r="R53" i="39"/>
  <c r="F54" i="39"/>
  <c r="Q54" i="39" s="1"/>
  <c r="R54" i="39" s="1"/>
  <c r="J54" i="39"/>
  <c r="K54" i="39" s="1"/>
  <c r="N54" i="39"/>
  <c r="O54" i="39" s="1"/>
  <c r="F55" i="39"/>
  <c r="G55" i="39"/>
  <c r="J55" i="39"/>
  <c r="K55" i="39"/>
  <c r="N55" i="39"/>
  <c r="O55" i="39"/>
  <c r="Q55" i="39"/>
  <c r="R55" i="39" s="1"/>
  <c r="F56" i="39"/>
  <c r="G56" i="39" s="1"/>
  <c r="J56" i="39"/>
  <c r="K56" i="39" s="1"/>
  <c r="N56" i="39"/>
  <c r="O56" i="39" s="1"/>
  <c r="F57" i="39"/>
  <c r="G57" i="39"/>
  <c r="J57" i="39"/>
  <c r="K57" i="39"/>
  <c r="N57" i="39"/>
  <c r="O57" i="39" s="1"/>
  <c r="Q57" i="39"/>
  <c r="R57" i="39" s="1"/>
  <c r="F58" i="39"/>
  <c r="G58" i="39" s="1"/>
  <c r="J58" i="39"/>
  <c r="K58" i="39" s="1"/>
  <c r="N58" i="39"/>
  <c r="O58" i="39"/>
  <c r="Q58" i="39"/>
  <c r="R58" i="39"/>
  <c r="F59" i="39"/>
  <c r="Q59" i="39" s="1"/>
  <c r="R59" i="39" s="1"/>
  <c r="G59" i="39"/>
  <c r="J59" i="39"/>
  <c r="K59" i="39" s="1"/>
  <c r="N59" i="39"/>
  <c r="O59" i="39" s="1"/>
  <c r="F60" i="39"/>
  <c r="G60" i="39" s="1"/>
  <c r="J60" i="39"/>
  <c r="K60" i="39"/>
  <c r="N60" i="39"/>
  <c r="O60" i="39"/>
  <c r="Q60" i="39"/>
  <c r="R60" i="39"/>
  <c r="F61" i="39"/>
  <c r="Q61" i="39" s="1"/>
  <c r="R61" i="39" s="1"/>
  <c r="J61" i="39"/>
  <c r="K61" i="39" s="1"/>
  <c r="N61" i="39"/>
  <c r="O61" i="39" s="1"/>
  <c r="F62" i="39"/>
  <c r="G62" i="39"/>
  <c r="J62" i="39"/>
  <c r="K62" i="39"/>
  <c r="N62" i="39"/>
  <c r="O62" i="39"/>
  <c r="Q62" i="39"/>
  <c r="R62" i="39" s="1"/>
  <c r="F63" i="39"/>
  <c r="G63" i="39" s="1"/>
  <c r="J63" i="39"/>
  <c r="K63" i="39" s="1"/>
  <c r="N63" i="39"/>
  <c r="O63" i="39" s="1"/>
  <c r="F64" i="39"/>
  <c r="G64" i="39"/>
  <c r="J64" i="39"/>
  <c r="K64" i="39"/>
  <c r="N64" i="39"/>
  <c r="O64" i="39" s="1"/>
  <c r="Q64" i="39"/>
  <c r="R64" i="39" s="1"/>
  <c r="F65" i="39"/>
  <c r="G65" i="39" s="1"/>
  <c r="J65" i="39"/>
  <c r="K65" i="39" s="1"/>
  <c r="N65" i="39"/>
  <c r="O65" i="39"/>
  <c r="Q65" i="39"/>
  <c r="R65" i="39"/>
  <c r="F66" i="39"/>
  <c r="Q66" i="39" s="1"/>
  <c r="R66" i="39" s="1"/>
  <c r="G66" i="39"/>
  <c r="J66" i="39"/>
  <c r="K66" i="39" s="1"/>
  <c r="N66" i="39"/>
  <c r="O66" i="39" s="1"/>
  <c r="B67" i="39"/>
  <c r="F67" i="39" s="1"/>
  <c r="G67" i="39" s="1"/>
  <c r="E67" i="39"/>
  <c r="I67" i="39"/>
  <c r="J67" i="39"/>
  <c r="K67" i="39"/>
  <c r="M67" i="39"/>
  <c r="N67" i="39"/>
  <c r="O67" i="39" s="1"/>
  <c r="Q67" i="39"/>
  <c r="R67" i="39" s="1"/>
  <c r="F26" i="35" l="1"/>
  <c r="H26" i="35" s="1"/>
  <c r="D20" i="15"/>
  <c r="Q43" i="39"/>
  <c r="R43" i="39" s="1"/>
  <c r="Q36" i="39"/>
  <c r="R36" i="39" s="1"/>
  <c r="Q29" i="39"/>
  <c r="R29" i="39" s="1"/>
  <c r="Q22" i="39"/>
  <c r="R22" i="39" s="1"/>
  <c r="Q15" i="39"/>
  <c r="R15" i="39" s="1"/>
  <c r="Q8" i="39"/>
  <c r="R8" i="39" s="1"/>
  <c r="G61" i="39"/>
  <c r="G54" i="39"/>
  <c r="G47" i="39"/>
  <c r="G40" i="39"/>
  <c r="G33" i="39"/>
  <c r="G26" i="39"/>
  <c r="G19" i="39"/>
  <c r="G12" i="39"/>
  <c r="Q16" i="39"/>
  <c r="R16" i="39" s="1"/>
  <c r="Q9" i="39"/>
  <c r="R9" i="39" s="1"/>
  <c r="Q63" i="39"/>
  <c r="R63" i="39" s="1"/>
  <c r="Q56" i="39"/>
  <c r="R56" i="39" s="1"/>
  <c r="Q49" i="39"/>
  <c r="R49" i="39" s="1"/>
  <c r="Q42" i="39"/>
  <c r="R42" i="39" s="1"/>
  <c r="Q35" i="39"/>
  <c r="R35" i="39" s="1"/>
  <c r="Q28" i="39"/>
  <c r="R28" i="39" s="1"/>
  <c r="Q21" i="39"/>
  <c r="R21" i="39" s="1"/>
  <c r="Q14" i="39"/>
  <c r="R14" i="39" s="1"/>
  <c r="Q7" i="39"/>
  <c r="R7" i="39" s="1"/>
  <c r="G64" i="32"/>
  <c r="E64" i="32"/>
  <c r="D64" i="32"/>
  <c r="S3" i="32"/>
  <c r="W3" i="32"/>
  <c r="V3" i="32" s="1"/>
  <c r="X3" i="32" s="1"/>
  <c r="AB3" i="32"/>
  <c r="AD3" i="32"/>
  <c r="AJ3" i="32"/>
  <c r="D21" i="15" l="1"/>
  <c r="D23" i="15"/>
  <c r="H64" i="32"/>
  <c r="AJ4" i="32" l="1"/>
  <c r="AJ5" i="32"/>
  <c r="AJ6" i="32"/>
  <c r="AJ7" i="32"/>
  <c r="AJ8" i="32"/>
  <c r="AJ9" i="32"/>
  <c r="AJ10" i="32"/>
  <c r="AJ11" i="32"/>
  <c r="AJ12" i="32"/>
  <c r="AJ13" i="32"/>
  <c r="AJ14" i="32"/>
  <c r="AJ15" i="32"/>
  <c r="AJ16" i="32"/>
  <c r="AJ17" i="32"/>
  <c r="AJ18" i="32"/>
  <c r="AJ19" i="32"/>
  <c r="AJ20" i="32"/>
  <c r="AJ21" i="32"/>
  <c r="AJ22" i="32"/>
  <c r="AJ23" i="32"/>
  <c r="AJ24" i="32"/>
  <c r="AJ25" i="32"/>
  <c r="AJ26" i="32"/>
  <c r="AJ27" i="32"/>
  <c r="AJ28" i="32"/>
  <c r="AJ29" i="32"/>
  <c r="AJ30" i="32"/>
  <c r="AJ31" i="32"/>
  <c r="AJ32" i="32"/>
  <c r="AJ33" i="32"/>
  <c r="AJ34" i="32"/>
  <c r="AJ35" i="32"/>
  <c r="AJ36" i="32"/>
  <c r="AJ37" i="32"/>
  <c r="AJ38" i="32"/>
  <c r="AJ39" i="32"/>
  <c r="AJ40" i="32"/>
  <c r="AJ41" i="32"/>
  <c r="AJ42" i="32"/>
  <c r="AJ43" i="32"/>
  <c r="AJ44" i="32"/>
  <c r="AJ45" i="32"/>
  <c r="AJ46" i="32"/>
  <c r="AJ47" i="32"/>
  <c r="AJ48" i="32"/>
  <c r="AJ49" i="32"/>
  <c r="G14" i="35" s="1"/>
  <c r="D9" i="15" s="1"/>
  <c r="AJ50" i="32"/>
  <c r="AJ51" i="32"/>
  <c r="AJ52" i="32"/>
  <c r="AJ53" i="32"/>
  <c r="AJ54" i="32"/>
  <c r="AJ55" i="32"/>
  <c r="AJ56" i="32"/>
  <c r="AJ57" i="32"/>
  <c r="AJ58" i="32"/>
  <c r="AJ59" i="32"/>
  <c r="AJ60" i="32"/>
  <c r="AJ61" i="32"/>
  <c r="AJ62" i="32"/>
  <c r="AI2" i="32"/>
  <c r="AJ2" i="32" s="1"/>
  <c r="G14" i="40" s="1"/>
  <c r="AF63" i="32"/>
  <c r="AG63" i="32"/>
  <c r="AH63" i="32"/>
  <c r="AI63" i="32" l="1"/>
  <c r="AJ63" i="32" s="1"/>
  <c r="F64" i="32" l="1"/>
  <c r="H46" i="30"/>
  <c r="F45" i="30"/>
  <c r="D44" i="30"/>
  <c r="G44" i="30" s="1"/>
  <c r="I44" i="30" s="1"/>
  <c r="F43" i="30"/>
  <c r="D43" i="30"/>
  <c r="I36" i="30"/>
  <c r="I37" i="30" s="1"/>
  <c r="D35" i="30"/>
  <c r="D34" i="30"/>
  <c r="D33" i="30"/>
  <c r="G31" i="30"/>
  <c r="F31" i="30"/>
  <c r="D31" i="30"/>
  <c r="H26" i="30"/>
  <c r="H25" i="30"/>
  <c r="F9" i="30"/>
  <c r="G9" i="30" s="1"/>
  <c r="F8" i="30"/>
  <c r="G8" i="30" s="1"/>
  <c r="F6" i="30"/>
  <c r="AB2" i="32"/>
  <c r="G45" i="30" s="1"/>
  <c r="I45" i="30" s="1"/>
  <c r="AB4" i="32"/>
  <c r="AB5" i="32"/>
  <c r="AB6" i="32"/>
  <c r="AB7" i="32"/>
  <c r="AB8" i="32"/>
  <c r="AB9" i="32"/>
  <c r="AB10" i="32"/>
  <c r="AB11" i="32"/>
  <c r="AB12" i="32"/>
  <c r="AB13" i="32"/>
  <c r="AB14" i="32"/>
  <c r="AB15" i="32"/>
  <c r="AB16" i="32"/>
  <c r="AB17" i="32"/>
  <c r="AB18" i="32"/>
  <c r="AB19" i="32"/>
  <c r="AB20" i="32"/>
  <c r="AB21" i="32"/>
  <c r="AB22" i="32"/>
  <c r="AB23" i="32"/>
  <c r="AB24" i="32"/>
  <c r="AB25" i="32"/>
  <c r="AB26" i="32"/>
  <c r="AB27" i="32"/>
  <c r="AB28" i="32"/>
  <c r="AB29" i="32"/>
  <c r="AB30" i="32"/>
  <c r="AB31" i="32"/>
  <c r="AB32" i="32"/>
  <c r="AB33" i="32"/>
  <c r="AB34" i="32"/>
  <c r="AB35" i="32"/>
  <c r="AB36" i="32"/>
  <c r="AB37" i="32"/>
  <c r="AB38" i="32"/>
  <c r="AB39" i="32"/>
  <c r="AB40" i="32"/>
  <c r="AB41" i="32"/>
  <c r="AB42" i="32"/>
  <c r="AB43" i="32"/>
  <c r="AB44" i="32"/>
  <c r="AB45" i="32"/>
  <c r="AB46" i="32"/>
  <c r="AB47" i="32"/>
  <c r="AB48" i="32"/>
  <c r="AB49" i="32"/>
  <c r="AB50" i="32"/>
  <c r="AB51" i="32"/>
  <c r="AB52" i="32"/>
  <c r="AB53" i="32"/>
  <c r="AB54" i="32"/>
  <c r="AB55" i="32"/>
  <c r="AB56" i="32"/>
  <c r="AB57" i="32"/>
  <c r="AB58" i="32"/>
  <c r="AB59" i="32"/>
  <c r="AB60" i="32"/>
  <c r="AB61" i="32"/>
  <c r="AB62" i="32"/>
  <c r="AB63" i="32"/>
  <c r="AD2" i="32"/>
  <c r="W2" i="32"/>
  <c r="V2" i="32" s="1"/>
  <c r="X2" i="32" s="1"/>
  <c r="S2" i="32"/>
  <c r="D45" i="30"/>
  <c r="W4" i="32"/>
  <c r="V4" i="32" s="1"/>
  <c r="X4" i="32" s="1"/>
  <c r="W5" i="32"/>
  <c r="V5" i="32" s="1"/>
  <c r="X5" i="32" s="1"/>
  <c r="W6" i="32"/>
  <c r="V6" i="32" s="1"/>
  <c r="X6" i="32" s="1"/>
  <c r="W7" i="32"/>
  <c r="V7" i="32" s="1"/>
  <c r="X7" i="32" s="1"/>
  <c r="W8" i="32"/>
  <c r="V8" i="32" s="1"/>
  <c r="X8" i="32" s="1"/>
  <c r="W9" i="32"/>
  <c r="V9" i="32" s="1"/>
  <c r="X9" i="32" s="1"/>
  <c r="W10" i="32"/>
  <c r="V10" i="32" s="1"/>
  <c r="X10" i="32" s="1"/>
  <c r="W11" i="32"/>
  <c r="W12" i="32"/>
  <c r="V12" i="32" s="1"/>
  <c r="X12" i="32" s="1"/>
  <c r="W13" i="32"/>
  <c r="V13" i="32" s="1"/>
  <c r="X13" i="32" s="1"/>
  <c r="W14" i="32"/>
  <c r="V14" i="32" s="1"/>
  <c r="W15" i="32"/>
  <c r="V15" i="32" s="1"/>
  <c r="X15" i="32" s="1"/>
  <c r="W16" i="32"/>
  <c r="V16" i="32" s="1"/>
  <c r="X16" i="32" s="1"/>
  <c r="W17" i="32"/>
  <c r="V17" i="32" s="1"/>
  <c r="X17" i="32" s="1"/>
  <c r="W18" i="32"/>
  <c r="V18" i="32" s="1"/>
  <c r="X18" i="32" s="1"/>
  <c r="W19" i="32"/>
  <c r="V19" i="32" s="1"/>
  <c r="X19" i="32" s="1"/>
  <c r="W20" i="32"/>
  <c r="V20" i="32" s="1"/>
  <c r="X20" i="32" s="1"/>
  <c r="W21" i="32"/>
  <c r="V21" i="32" s="1"/>
  <c r="X21" i="32" s="1"/>
  <c r="W22" i="32"/>
  <c r="V22" i="32" s="1"/>
  <c r="X22" i="32" s="1"/>
  <c r="W23" i="32"/>
  <c r="V23" i="32" s="1"/>
  <c r="X23" i="32" s="1"/>
  <c r="W24" i="32"/>
  <c r="V24" i="32" s="1"/>
  <c r="X24" i="32" s="1"/>
  <c r="W25" i="32"/>
  <c r="V25" i="32" s="1"/>
  <c r="X25" i="32" s="1"/>
  <c r="W26" i="32"/>
  <c r="V26" i="32" s="1"/>
  <c r="X26" i="32" s="1"/>
  <c r="W27" i="32"/>
  <c r="V27" i="32" s="1"/>
  <c r="X27" i="32" s="1"/>
  <c r="W28" i="32"/>
  <c r="V28" i="32" s="1"/>
  <c r="X28" i="32" s="1"/>
  <c r="W29" i="32"/>
  <c r="V29" i="32" s="1"/>
  <c r="X29" i="32" s="1"/>
  <c r="W30" i="32"/>
  <c r="V30" i="32" s="1"/>
  <c r="X30" i="32" s="1"/>
  <c r="W31" i="32"/>
  <c r="V31" i="32" s="1"/>
  <c r="X31" i="32" s="1"/>
  <c r="W32" i="32"/>
  <c r="V32" i="32" s="1"/>
  <c r="X32" i="32" s="1"/>
  <c r="W33" i="32"/>
  <c r="V33" i="32" s="1"/>
  <c r="X33" i="32" s="1"/>
  <c r="W34" i="32"/>
  <c r="V34" i="32" s="1"/>
  <c r="X34" i="32" s="1"/>
  <c r="W35" i="32"/>
  <c r="V35" i="32" s="1"/>
  <c r="X35" i="32" s="1"/>
  <c r="W36" i="32"/>
  <c r="V36" i="32" s="1"/>
  <c r="X36" i="32" s="1"/>
  <c r="W37" i="32"/>
  <c r="V37" i="32" s="1"/>
  <c r="X37" i="32" s="1"/>
  <c r="W38" i="32"/>
  <c r="V38" i="32" s="1"/>
  <c r="X38" i="32" s="1"/>
  <c r="W39" i="32"/>
  <c r="V39" i="32" s="1"/>
  <c r="X39" i="32" s="1"/>
  <c r="W40" i="32"/>
  <c r="W41" i="32"/>
  <c r="V41" i="32" s="1"/>
  <c r="X41" i="32" s="1"/>
  <c r="W42" i="32"/>
  <c r="V42" i="32" s="1"/>
  <c r="X42" i="32" s="1"/>
  <c r="W43" i="32"/>
  <c r="V43" i="32" s="1"/>
  <c r="X43" i="32" s="1"/>
  <c r="W44" i="32"/>
  <c r="V44" i="32" s="1"/>
  <c r="X44" i="32" s="1"/>
  <c r="W45" i="32"/>
  <c r="V45" i="32" s="1"/>
  <c r="X45" i="32" s="1"/>
  <c r="W46" i="32"/>
  <c r="W47" i="32"/>
  <c r="V47" i="32" s="1"/>
  <c r="X47" i="32" s="1"/>
  <c r="W48" i="32"/>
  <c r="V48" i="32" s="1"/>
  <c r="X48" i="32" s="1"/>
  <c r="W49" i="32"/>
  <c r="V49" i="32" s="1"/>
  <c r="X49" i="32" s="1"/>
  <c r="W50" i="32"/>
  <c r="V50" i="32" s="1"/>
  <c r="X50" i="32" s="1"/>
  <c r="W51" i="32"/>
  <c r="V51" i="32" s="1"/>
  <c r="X51" i="32" s="1"/>
  <c r="W52" i="32"/>
  <c r="V52" i="32" s="1"/>
  <c r="X52" i="32" s="1"/>
  <c r="W53" i="32"/>
  <c r="V53" i="32" s="1"/>
  <c r="X53" i="32" s="1"/>
  <c r="W54" i="32"/>
  <c r="V54" i="32" s="1"/>
  <c r="X54" i="32" s="1"/>
  <c r="W55" i="32"/>
  <c r="V55" i="32" s="1"/>
  <c r="X55" i="32" s="1"/>
  <c r="W56" i="32"/>
  <c r="V56" i="32" s="1"/>
  <c r="X56" i="32" s="1"/>
  <c r="W57" i="32"/>
  <c r="V57" i="32" s="1"/>
  <c r="X57" i="32" s="1"/>
  <c r="W58" i="32"/>
  <c r="V58" i="32" s="1"/>
  <c r="X58" i="32" s="1"/>
  <c r="W59" i="32"/>
  <c r="V59" i="32" s="1"/>
  <c r="X59" i="32" s="1"/>
  <c r="W60" i="32"/>
  <c r="V60" i="32" s="1"/>
  <c r="X60" i="32" s="1"/>
  <c r="W61" i="32"/>
  <c r="V61" i="32" s="1"/>
  <c r="X61" i="32" s="1"/>
  <c r="W62" i="32"/>
  <c r="V62" i="32" s="1"/>
  <c r="X62" i="32" s="1"/>
  <c r="W63" i="32"/>
  <c r="V63" i="32" s="1"/>
  <c r="X63" i="32" s="1"/>
  <c r="V40" i="32"/>
  <c r="X40" i="32" s="1"/>
  <c r="V46" i="32"/>
  <c r="X46" i="32" s="1"/>
  <c r="S4" i="32"/>
  <c r="S5" i="32"/>
  <c r="S6" i="32"/>
  <c r="S7" i="32"/>
  <c r="S8" i="32"/>
  <c r="S9" i="32"/>
  <c r="S10" i="32"/>
  <c r="S11" i="32"/>
  <c r="S12" i="32"/>
  <c r="S13" i="32"/>
  <c r="S14" i="32"/>
  <c r="S15" i="32"/>
  <c r="S16" i="32"/>
  <c r="S17" i="32"/>
  <c r="S18" i="32"/>
  <c r="S19" i="32"/>
  <c r="S20" i="32"/>
  <c r="S21" i="32"/>
  <c r="S22" i="32"/>
  <c r="S23" i="32"/>
  <c r="S24" i="32"/>
  <c r="S25" i="32"/>
  <c r="S26" i="32"/>
  <c r="S27" i="32"/>
  <c r="S28" i="32"/>
  <c r="S29" i="32"/>
  <c r="S30" i="32"/>
  <c r="S31" i="32"/>
  <c r="S32" i="32"/>
  <c r="S33" i="32"/>
  <c r="S34" i="32"/>
  <c r="S35" i="32"/>
  <c r="S36" i="32"/>
  <c r="S37" i="32"/>
  <c r="S38" i="32"/>
  <c r="S39" i="32"/>
  <c r="S40" i="32"/>
  <c r="S41" i="32"/>
  <c r="S42" i="32"/>
  <c r="S43" i="32"/>
  <c r="S44" i="32"/>
  <c r="S45" i="32"/>
  <c r="S46" i="32"/>
  <c r="S47" i="32"/>
  <c r="S48" i="32"/>
  <c r="S49" i="32"/>
  <c r="S50" i="32"/>
  <c r="S51" i="32"/>
  <c r="S52" i="32"/>
  <c r="S53" i="32"/>
  <c r="S54" i="32"/>
  <c r="S55" i="32"/>
  <c r="S56" i="32"/>
  <c r="S57" i="32"/>
  <c r="S58" i="32"/>
  <c r="S59" i="32"/>
  <c r="S60" i="32"/>
  <c r="S61" i="32"/>
  <c r="S62" i="32"/>
  <c r="S63" i="32"/>
  <c r="D23" i="35"/>
  <c r="D14" i="15" s="1"/>
  <c r="O63" i="32"/>
  <c r="Q63" i="32" s="1"/>
  <c r="AD63" i="32"/>
  <c r="C63" i="33"/>
  <c r="C5" i="33"/>
  <c r="C6" i="33"/>
  <c r="C7" i="33"/>
  <c r="C8" i="33"/>
  <c r="C9" i="33"/>
  <c r="C10" i="33"/>
  <c r="C11" i="33"/>
  <c r="C12" i="33"/>
  <c r="C13" i="33"/>
  <c r="C14" i="33"/>
  <c r="C15" i="33"/>
  <c r="C16" i="33"/>
  <c r="C17" i="33"/>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C50" i="33"/>
  <c r="C51" i="33"/>
  <c r="C52" i="33"/>
  <c r="C53" i="33"/>
  <c r="C54" i="33"/>
  <c r="C55" i="33"/>
  <c r="C56" i="33"/>
  <c r="C57" i="33"/>
  <c r="C58" i="33"/>
  <c r="C59" i="33"/>
  <c r="C60" i="33"/>
  <c r="C61" i="33"/>
  <c r="C62" i="33"/>
  <c r="C3" i="33"/>
  <c r="C4" i="33"/>
  <c r="C2" i="33"/>
  <c r="O61" i="32"/>
  <c r="O62" i="32"/>
  <c r="Q62" i="32" s="1"/>
  <c r="O64" i="32" l="1"/>
  <c r="Q61" i="32"/>
  <c r="F46" i="30"/>
  <c r="D37" i="30"/>
  <c r="D46" i="30"/>
  <c r="H27" i="30"/>
  <c r="I40" i="30" s="1"/>
  <c r="I48" i="30"/>
  <c r="G43" i="30"/>
  <c r="X14" i="32"/>
  <c r="V11" i="32"/>
  <c r="G46" i="30" l="1"/>
  <c r="I43" i="30"/>
  <c r="I46" i="30" s="1"/>
  <c r="X11" i="32"/>
  <c r="AD4" i="32"/>
  <c r="AD5" i="32"/>
  <c r="AD6" i="32"/>
  <c r="AD7" i="32"/>
  <c r="AD8" i="32"/>
  <c r="AD9" i="32"/>
  <c r="AD10" i="32"/>
  <c r="AD11" i="32"/>
  <c r="AD12" i="32"/>
  <c r="AD13" i="32"/>
  <c r="AD14" i="32"/>
  <c r="AD15" i="32"/>
  <c r="AD16" i="32"/>
  <c r="AD17" i="32"/>
  <c r="AD18" i="32"/>
  <c r="AD19" i="32"/>
  <c r="AD20" i="32"/>
  <c r="AD21" i="32"/>
  <c r="AD22" i="32"/>
  <c r="AD23" i="32"/>
  <c r="AD24" i="32"/>
  <c r="AD25" i="32"/>
  <c r="AD26" i="32"/>
  <c r="AD27" i="32"/>
  <c r="AD28" i="32"/>
  <c r="AD29" i="32"/>
  <c r="AD30" i="32"/>
  <c r="AD31" i="32"/>
  <c r="AD32" i="32"/>
  <c r="AD33" i="32"/>
  <c r="AD34" i="32"/>
  <c r="AD35" i="32"/>
  <c r="AD36" i="32"/>
  <c r="AD37" i="32"/>
  <c r="AD38" i="32"/>
  <c r="AD39" i="32"/>
  <c r="AD40" i="32"/>
  <c r="AD41" i="32"/>
  <c r="AD42" i="32"/>
  <c r="AD43" i="32"/>
  <c r="AD44" i="32"/>
  <c r="AD45" i="32"/>
  <c r="AD46" i="32"/>
  <c r="AD47" i="32"/>
  <c r="AD48" i="32"/>
  <c r="AD49" i="32"/>
  <c r="AD50" i="32"/>
  <c r="AD51" i="32"/>
  <c r="AD52" i="32"/>
  <c r="AD53" i="32"/>
  <c r="AD54" i="32"/>
  <c r="AD55" i="32"/>
  <c r="AD56" i="32"/>
  <c r="AD57" i="32"/>
  <c r="AD58" i="32"/>
  <c r="AD59" i="32"/>
  <c r="AD60" i="32"/>
  <c r="AD61" i="32"/>
  <c r="AD6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King, Aimee ECC:EX</author>
  </authors>
  <commentList>
    <comment ref="H25" authorId="0" shapeId="0" xr:uid="{5FF2CAC0-34F2-46F9-982D-59B403EFC473}">
      <text>
        <r>
          <rPr>
            <sz val="9"/>
            <color indexed="81"/>
            <rFont val="Tahoma"/>
            <charset val="1"/>
          </rPr>
          <t>2025/26 Carryover is total of carryover from 2024/25 plus any unspent funds from 2025/26.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London, Jane EDUC:EX</author>
  </authors>
  <commentList>
    <comment ref="F29" authorId="0" shapeId="0" xr:uid="{D9FA0CF3-1D63-4E65-86E7-45E84550F99A}">
      <text>
        <r>
          <rPr>
            <b/>
            <sz val="9"/>
            <color indexed="81"/>
            <rFont val="Tahoma"/>
            <family val="2"/>
          </rPr>
          <t>ECC:
From "7.70 Student Transportation Operating Fund Expenses - per June 30, 2024 audited Financial Statements", includes (1) salaries &amp; benefits, &amp; (2) services &amp; supplies.</t>
        </r>
        <r>
          <rPr>
            <sz val="9"/>
            <color indexed="81"/>
            <rFont val="Tahoma"/>
            <family val="2"/>
          </rPr>
          <t xml:space="preserve">
</t>
        </r>
      </text>
    </comment>
  </commentList>
</comments>
</file>

<file path=xl/sharedStrings.xml><?xml version="1.0" encoding="utf-8"?>
<sst xmlns="http://schemas.openxmlformats.org/spreadsheetml/2006/main" count="489" uniqueCount="313">
  <si>
    <t>2025/26 BCTEA First Nation Student Transportation Report Signature Page</t>
  </si>
  <si>
    <t>The signatures below indicate the BCTEA Transportation Report (Report) has been shared with the First Nation(s). Since the Report is a summary of school district spending that has not been customized for each First Nation (unlike the Joint Transportation Plan), the First Nation’s signature indicates acknowledgement that the information has been received and is not intended to be an approval.</t>
  </si>
  <si>
    <t xml:space="preserve">School District name and number                                                            </t>
  </si>
  <si>
    <t>Board Chair (or delegate) signature</t>
  </si>
  <si>
    <t>Date</t>
  </si>
  <si>
    <t>First Nation</t>
  </si>
  <si>
    <t xml:space="preserve">Chief of the First Nation (or delegate) signature   </t>
  </si>
  <si>
    <t>2025/26 BCTEA First Nation Student Transportation Report</t>
  </si>
  <si>
    <t xml:space="preserve">1. Select School District number from the drop down menu on the right to pre-populate with information below. </t>
  </si>
  <si>
    <t>As of the September Count Date:</t>
  </si>
  <si>
    <t>2. Total number of students in the school district that required transportation as of September 29, 2025, including students living on reserve</t>
  </si>
  <si>
    <t>3. Total number of students living on reserve attending public schools that required transportation (agreed upon via the Joint Verification Process)</t>
  </si>
  <si>
    <t>Refer to (2) Instructions for information on how to complete this form.</t>
  </si>
  <si>
    <t>SECTION A</t>
  </si>
  <si>
    <t>1. Provide a description of transportation services provided to First Nation students living on reserve. List all of the services provided by the school district and First Nations.</t>
  </si>
  <si>
    <t>2. Was the BCTEA First Nation Student Transportation fund used to support pro-rated transportation services? If so, how was pro-rating calculated?</t>
  </si>
  <si>
    <t>3. How did the school district engage with First Nation(s) in Joint Plan development? (E.g. discussions about changes in transportation priorities, carryover funds)</t>
  </si>
  <si>
    <t>4. How has the BCTEA First Nation Student Transportation Fund improved First Nation Student transportation? (E.g., reducing ride time, safety, attendance, etc.)</t>
  </si>
  <si>
    <t>SECTION B</t>
  </si>
  <si>
    <r>
      <rPr>
        <b/>
        <sz val="12"/>
        <color theme="1"/>
        <rFont val="Calibri"/>
        <family val="2"/>
        <scheme val="minor"/>
      </rPr>
      <t xml:space="preserve">Federal: First Nation Student Rate (FNSR) Funding and the Transportation "Proxy" (For Reference):
</t>
    </r>
    <r>
      <rPr>
        <sz val="12"/>
        <color theme="1"/>
        <rFont val="Calibri"/>
        <family val="2"/>
        <scheme val="minor"/>
      </rPr>
      <t>Student Location Factor (SLF), Supplemental Student Location Factor (SSLF) and Provincial Student Transportation Fund (STF) included in the First Nation Student Rate (FNSR) is the Proxy for transportation funding. This is the minimum amount of FNSR funding that should be used for transportation of First Nations Students living on reserve.</t>
    </r>
  </si>
  <si>
    <t xml:space="preserve"> </t>
  </si>
  <si>
    <t>Approximate Total Transportation Proxy</t>
  </si>
  <si>
    <t>SECTION C</t>
  </si>
  <si>
    <t xml:space="preserve">Provincial: Transportation Services Actuals and Revenue 
(see the Report Example Tab for more details)
</t>
  </si>
  <si>
    <r>
      <t xml:space="preserve">2025/26 Revenue (and sources) for operational costs provided </t>
    </r>
    <r>
      <rPr>
        <b/>
        <sz val="12"/>
        <rFont val="Calibri"/>
        <family val="2"/>
        <scheme val="minor"/>
      </rPr>
      <t>for   
information.</t>
    </r>
    <r>
      <rPr>
        <sz val="12"/>
        <rFont val="Calibri"/>
        <family val="2"/>
        <scheme val="minor"/>
      </rPr>
      <t xml:space="preserve">
(Table 2A operating grant manual (Dec re-calc based on Sep 1701)</t>
    </r>
  </si>
  <si>
    <t>2024/25 Spending for all Student Transportation
 (Jun 30, 2025 audited financial statement)
(all students)</t>
  </si>
  <si>
    <t>2024/25 Spending for First Nation Students living on reserve  Transportation 
(school district reported) to Jun 30, 2025</t>
  </si>
  <si>
    <t>2025/26 Spending for all Student Transportation to Jun 30, 2026 (all students)</t>
  </si>
  <si>
    <t>2025/26 Spending for First Nation Students Living on reserve Transportation to Jun 30, 2026</t>
  </si>
  <si>
    <t>Provincial Grants</t>
  </si>
  <si>
    <t>Provincial general operating grant</t>
  </si>
  <si>
    <r>
      <rPr>
        <b/>
        <sz val="12"/>
        <color theme="1"/>
        <rFont val="Calibri"/>
        <family val="2"/>
        <scheme val="minor"/>
      </rPr>
      <t>Contained within the operating grant - for reference</t>
    </r>
    <r>
      <rPr>
        <sz val="12"/>
        <color theme="1"/>
        <rFont val="Calibri"/>
        <family val="2"/>
        <scheme val="minor"/>
      </rPr>
      <t xml:space="preserve">:  </t>
    </r>
  </si>
  <si>
    <t xml:space="preserve"> Student Location Factor (SLF)</t>
  </si>
  <si>
    <t>Supplementary Student Location Factor (SSLF)</t>
  </si>
  <si>
    <t>Provincial Student Transportation Fund (STF)</t>
  </si>
  <si>
    <t>Total Provincial Funding</t>
  </si>
  <si>
    <t>SECTION D</t>
  </si>
  <si>
    <t>Supplemental Funding:
BCTEA First Nation Student Transportation Fund 2025/26</t>
  </si>
  <si>
    <t>BCTEA 2024/25
Carryover</t>
  </si>
  <si>
    <t>BCTEA 2025/26 Approved</t>
  </si>
  <si>
    <t>BCTEA 2025/26 Funds Available</t>
  </si>
  <si>
    <t>BCTEA 2025/26 Actual spending to June 30, 2026</t>
  </si>
  <si>
    <t>2025/26 Carryover at June 30, 2026</t>
  </si>
  <si>
    <t>Total BCTEA funds (Including To/From, Special Supports, and Extracurricular)</t>
  </si>
  <si>
    <t>SECTION E</t>
  </si>
  <si>
    <t>Total Transportation Spending: First Nation Students living on reserve attending public school</t>
  </si>
  <si>
    <t>BCTEA 2025/26 Actual spending to June 30, 2025</t>
  </si>
  <si>
    <t>2025/26 Carryover at June 30, 2025</t>
  </si>
  <si>
    <t>Instructions for completing the 2025/26 BCTEA First Nation Student Transportation Report</t>
  </si>
  <si>
    <t>INTRODUCTION -</t>
  </si>
  <si>
    <t xml:space="preserve">• The purpose of this report is to understand Board spending, including the transportation "proxy", and the total cost of transportation for First Nation Students living on reserve attending BC Public School. </t>
  </si>
  <si>
    <t xml:space="preserve">• Reports must be shared with, and signed by, all First Nations the school district serves to confirm that they have received the report (see Signature Tab), however signature does not imply agreement. In lieu of signatures, email confirmation that the report has been shared will be accepted.
• Boards are asked to return the Final 2025/26 First Nation Student Transportation Report.xls to the Ministry in Excel format, in addition to other formats that best supports the Board and First Nation sign-off processes e.g. Excel as well as a signed Adobe PDF. </t>
  </si>
  <si>
    <t>INSTRUCTIONS -</t>
  </si>
  <si>
    <r>
      <t xml:space="preserve">1 - Select school district number from the drop-down menu. 
2 - Estimate the total number of </t>
    </r>
    <r>
      <rPr>
        <b/>
        <sz val="12"/>
        <rFont val="Calibri"/>
        <family val="2"/>
        <scheme val="minor"/>
      </rPr>
      <t>all</t>
    </r>
    <r>
      <rPr>
        <sz val="12"/>
        <rFont val="Calibri"/>
        <family val="2"/>
        <scheme val="minor"/>
      </rPr>
      <t xml:space="preserve"> students in the district that required transportation in the 2025/26 school year, including Students living on reserve
3 - Estimate the total number of Students living on reserve attending public schools that required transportation in the 2025/26 school year</t>
    </r>
  </si>
  <si>
    <t>SECTION A:</t>
  </si>
  <si>
    <t>4 - Answer questions 1 through 4, providing as much detail as possible.</t>
  </si>
  <si>
    <t>SECTION B:</t>
  </si>
  <si>
    <t>The school district's transportation Proxy amount is calculated for reference. This is the minimum amount of FNSR funding that should be used for transportation of First Nation Students living on reserve</t>
  </si>
  <si>
    <t>SECTION C:</t>
  </si>
  <si>
    <r>
      <t xml:space="preserve">5 - Record actual amount of Provincial funding spent on </t>
    </r>
    <r>
      <rPr>
        <b/>
        <sz val="12"/>
        <rFont val="Calibri"/>
        <family val="2"/>
        <scheme val="minor"/>
      </rPr>
      <t xml:space="preserve">all </t>
    </r>
    <r>
      <rPr>
        <sz val="12"/>
        <rFont val="Calibri"/>
        <family val="2"/>
        <scheme val="minor"/>
      </rPr>
      <t>student transportation, and on transportation for First Nation Students living on reserve.</t>
    </r>
  </si>
  <si>
    <t>SECTION E:</t>
  </si>
  <si>
    <r>
      <t xml:space="preserve">6 - Record actual spending of BCTEA funding, including To/From and Special Supports, and Extracurricular funds, to year end
- The total carryover will be automatically calculated. This number should match the amount of unspent FN Student Transportation fund grants reported on the school district's </t>
    </r>
    <r>
      <rPr>
        <i/>
        <sz val="12"/>
        <rFont val="Calibri"/>
        <family val="2"/>
        <scheme val="minor"/>
      </rPr>
      <t>2025/26 Audited Financial Statement</t>
    </r>
  </si>
  <si>
    <t>SECTION F:</t>
  </si>
  <si>
    <t>For reference, the total amount spent on transportation for First Nation Students living on reserve attending public schools. This is the sum of total provincial funding spent (Section C) and total spending of BCTEA funding (Section E)</t>
  </si>
  <si>
    <t>BCTEA 2024/25 Revenue and Spending Report</t>
  </si>
  <si>
    <r>
      <rPr>
        <b/>
        <u/>
        <sz val="11"/>
        <rFont val="Calibri"/>
        <family val="2"/>
        <scheme val="minor"/>
      </rPr>
      <t>Purpose:</t>
    </r>
    <r>
      <rPr>
        <b/>
        <sz val="11"/>
        <rFont val="Calibri"/>
        <family val="2"/>
        <scheme val="minor"/>
      </rPr>
      <t xml:space="preserve">  </t>
    </r>
    <r>
      <rPr>
        <sz val="11"/>
        <rFont val="Calibri"/>
        <family val="2"/>
        <scheme val="minor"/>
      </rPr>
      <t xml:space="preserve">The 2024/25 school year was the sixth year of BCTEA Joint Transportation Plan development and implementation. This report template is being used to:
Understand Board spending including the transportation "proxy", and the total cost of transportation for First Nation Students living on reserve attending BC Public School. </t>
    </r>
  </si>
  <si>
    <r>
      <rPr>
        <b/>
        <sz val="11"/>
        <rFont val="Calibri"/>
        <family val="2"/>
        <scheme val="minor"/>
      </rPr>
      <t>Note:</t>
    </r>
    <r>
      <rPr>
        <sz val="11"/>
        <rFont val="Calibri"/>
        <family val="2"/>
        <scheme val="minor"/>
      </rPr>
      <t xml:space="preserve"> Boards are asked to return the </t>
    </r>
    <r>
      <rPr>
        <i/>
        <sz val="11"/>
        <rFont val="Calibri"/>
        <family val="2"/>
        <scheme val="minor"/>
      </rPr>
      <t>Final 2024/25 BCTEA Joint Transportation Reporting Template.xls</t>
    </r>
    <r>
      <rPr>
        <sz val="11"/>
        <rFont val="Calibri"/>
        <family val="2"/>
        <scheme val="minor"/>
      </rPr>
      <t xml:space="preserve"> to the Ministry i</t>
    </r>
    <r>
      <rPr>
        <b/>
        <sz val="11"/>
        <rFont val="Calibri"/>
        <family val="2"/>
        <scheme val="minor"/>
      </rPr>
      <t>n Excel format</t>
    </r>
    <r>
      <rPr>
        <sz val="11"/>
        <rFont val="Calibri"/>
        <family val="2"/>
        <scheme val="minor"/>
      </rPr>
      <t xml:space="preserve"> in addition to other formats that best supports the Board and First Nation sign-off processes e.g., Excel as well as a signed Adobe PDF. 
</t>
    </r>
  </si>
  <si>
    <t xml:space="preserve">Instructions: </t>
  </si>
  <si>
    <t>Yellow portion to be completed by school district</t>
  </si>
  <si>
    <t>Background As of September 29, 2024:</t>
  </si>
  <si>
    <t>As of 
September 29, 2024</t>
  </si>
  <si>
    <t>Reported on the same 2023/24 form for reference</t>
  </si>
  <si>
    <t>% increase/decrease from previous year</t>
  </si>
  <si>
    <r>
      <t xml:space="preserve">2. </t>
    </r>
    <r>
      <rPr>
        <b/>
        <sz val="11"/>
        <rFont val="Calibri"/>
        <family val="2"/>
        <scheme val="minor"/>
      </rPr>
      <t>Total school district students required transportation</t>
    </r>
    <r>
      <rPr>
        <sz val="11"/>
        <rFont val="Calibri"/>
        <family val="2"/>
        <scheme val="minor"/>
      </rPr>
      <t xml:space="preserve">:  How many BC resident students including Students living on reserve (agreed upon via the Joint Verification Process), required transportation to public school?  </t>
    </r>
  </si>
  <si>
    <r>
      <t xml:space="preserve">3. </t>
    </r>
    <r>
      <rPr>
        <b/>
        <sz val="11"/>
        <rFont val="Calibri"/>
        <family val="2"/>
        <scheme val="minor"/>
      </rPr>
      <t>Total number of Students living on reserve attending public schools that required transporation</t>
    </r>
    <r>
      <rPr>
        <sz val="11"/>
        <rFont val="Calibri"/>
        <family val="2"/>
        <scheme val="minor"/>
      </rPr>
      <t xml:space="preserve"> (agreed upon via the Joint Verification Process)</t>
    </r>
  </si>
  <si>
    <t>Please refer to (1.1) Revenue-Spending Example for reference on how to complete this form.</t>
  </si>
  <si>
    <r>
      <t>A. Provide a description of school district transportation services provided to all students, including First Nation students living on reserve (expand row height to add more detail): See Sample Tab.</t>
    </r>
    <r>
      <rPr>
        <b/>
        <sz val="11"/>
        <color theme="5"/>
        <rFont val="Calibri"/>
        <family val="2"/>
        <scheme val="minor"/>
      </rPr>
      <t xml:space="preserve"> </t>
    </r>
    <r>
      <rPr>
        <sz val="11"/>
        <rFont val="Calibri"/>
        <family val="2"/>
        <scheme val="minor"/>
      </rPr>
      <t xml:space="preserve">List all of the services provided by the school district (prior to submitting the first Joint Plan and accessing the First Nation Student Transportation Fund) including transportation to extracurricular activities and water transportation. Additional transportation services funded by the district and implemented since the initial Joint Plan may be included here. Indicate if there have been new, modified or cancelled transportation services over last year.  </t>
    </r>
  </si>
  <si>
    <r>
      <t xml:space="preserve">B.  Federal: First Nation Student Rate (FNSR) Funding and the Transportation "Proxy" (For Reference):
</t>
    </r>
    <r>
      <rPr>
        <sz val="11"/>
        <rFont val="Calibri"/>
        <family val="2"/>
        <scheme val="minor"/>
      </rPr>
      <t xml:space="preserve">TRANSPORTATION PROXY: Under BCTEA, there is a portion of the First Nation Student Rate (FNSR) derived from the Student Location Factor (SLF), Supplementary Student Location Factor (SSLF) and Provincial Student Transportation Fund (STF) that is considered a “proxy” for funding First Nation Student transportation.  This amount is the minimum of the FNSR that should be applied to the transportation of First Nations Students living on reserve. This proxy amount can be supplemented by other funding from the FNSR and/or from provincial operating funding and special grants.  As per BCTEA Schedule G, this amount was meant to be removed from the FNSR and it has not been removed. </t>
    </r>
  </si>
  <si>
    <t xml:space="preserve">Number of First Nation Students (adjusted from 2023/24 Nominal Roll) </t>
  </si>
  <si>
    <t>Transportation portion (SLF, SSLF, and STF) per student from the FNSR</t>
  </si>
  <si>
    <t xml:space="preserve">C. Provincial: Transportation Services Actuals and Revenue 
(see the Report Example Tab for more details or comments)
</t>
  </si>
  <si>
    <r>
      <t xml:space="preserve">2024/25 Revenue (and sources) for operational costs provided </t>
    </r>
    <r>
      <rPr>
        <b/>
        <sz val="11"/>
        <rFont val="Calibri"/>
        <family val="2"/>
        <scheme val="minor"/>
      </rPr>
      <t>for   
information.</t>
    </r>
    <r>
      <rPr>
        <sz val="11"/>
        <rFont val="Calibri"/>
        <family val="2"/>
        <scheme val="minor"/>
      </rPr>
      <t xml:space="preserve">
(Table 2A operating grant manual (Dec re-calc based on Sep 1701)</t>
    </r>
  </si>
  <si>
    <t>2023/24 Actual Student Transportation spending
 (Jun 30, 2024 audited financial statement)
(all students)</t>
  </si>
  <si>
    <t xml:space="preserve">2023/24 First Nation Students living on reserve  Transportation spending 
(school district reported) to Jun 30, 2024) </t>
  </si>
  <si>
    <r>
      <t xml:space="preserve">2024/25 Amended budget
Student Transportation to Jun 30, 2025 as of </t>
    </r>
    <r>
      <rPr>
        <b/>
        <sz val="11"/>
        <rFont val="Calibri"/>
        <family val="2"/>
        <scheme val="minor"/>
      </rPr>
      <t>Feb 28, 2025</t>
    </r>
    <r>
      <rPr>
        <sz val="11"/>
        <rFont val="Calibri"/>
        <family val="2"/>
        <scheme val="minor"/>
      </rPr>
      <t xml:space="preserve">
(all students)</t>
    </r>
  </si>
  <si>
    <r>
      <t xml:space="preserve">2024/25 Amended budget for </t>
    </r>
    <r>
      <rPr>
        <b/>
        <sz val="11"/>
        <rFont val="Calibri"/>
        <family val="2"/>
        <scheme val="minor"/>
      </rPr>
      <t xml:space="preserve">First Nation Students </t>
    </r>
    <r>
      <rPr>
        <sz val="11"/>
        <rFont val="Calibri"/>
        <family val="2"/>
        <scheme val="minor"/>
      </rPr>
      <t>Living on reserve Transportation to Jun 30, 2025</t>
    </r>
  </si>
  <si>
    <r>
      <rPr>
        <b/>
        <sz val="11"/>
        <color theme="1"/>
        <rFont val="Calibri"/>
        <family val="2"/>
        <scheme val="minor"/>
      </rPr>
      <t>Contained within the operating grant - for reference</t>
    </r>
    <r>
      <rPr>
        <sz val="11"/>
        <color theme="1"/>
        <rFont val="Calibri"/>
        <family val="2"/>
        <scheme val="minor"/>
      </rPr>
      <t xml:space="preserve">:  </t>
    </r>
  </si>
  <si>
    <t>Other sources</t>
  </si>
  <si>
    <r>
      <t>D.</t>
    </r>
    <r>
      <rPr>
        <sz val="11"/>
        <rFont val="Calibri"/>
        <family val="2"/>
        <scheme val="minor"/>
      </rPr>
      <t xml:space="preserve"> </t>
    </r>
    <r>
      <rPr>
        <b/>
        <sz val="11"/>
        <rFont val="Calibri"/>
        <family val="2"/>
        <scheme val="minor"/>
      </rPr>
      <t>After completing Section C</t>
    </r>
    <r>
      <rPr>
        <sz val="11"/>
        <rFont val="Calibri"/>
        <family val="2"/>
        <scheme val="minor"/>
      </rPr>
      <t xml:space="preserve">, if school district proxy spending </t>
    </r>
    <r>
      <rPr>
        <b/>
        <sz val="11"/>
        <rFont val="Calibri"/>
        <family val="2"/>
        <scheme val="minor"/>
      </rPr>
      <t>has not been met (cell will indicate "No")</t>
    </r>
    <r>
      <rPr>
        <sz val="11"/>
        <rFont val="Calibri"/>
        <family val="2"/>
        <scheme val="minor"/>
      </rPr>
      <t>, please provide explanation below:</t>
    </r>
  </si>
  <si>
    <t>E. Supplemental Funding: BCTEA First Nation Student Transportation (FNST) Fund 2024/25:</t>
  </si>
  <si>
    <t>BCTEA 2023/24
Carryover</t>
  </si>
  <si>
    <t>BCTEA 2024/25 Approved</t>
  </si>
  <si>
    <t>BCTEA 2024/25 Funds Available</t>
  </si>
  <si>
    <t>BCTEA 2024/25 Spending forecast June 30, 2025</t>
  </si>
  <si>
    <t>2024/25 Carryover forecast June 30, 2025</t>
  </si>
  <si>
    <t>To/From and Special Supports</t>
  </si>
  <si>
    <t>Bus Shelters (Not funded beyond 2019/20)</t>
  </si>
  <si>
    <t>Extracurricular Funds automatically allocated based on 2022/23 Nominal Roll</t>
  </si>
  <si>
    <t>Total BCTEA FNST Funds</t>
  </si>
  <si>
    <t>F. Total Transportation Spending: First Nation Students living on reserve attending public school</t>
  </si>
  <si>
    <t>G. Provide details of how BCTEA to/from transportation funding assisted in reducing student travel and wait times, improving services by adding additional or extending bus routes. If there were additional benefits not initially anticipated please include (expand row height to add more detail):</t>
  </si>
  <si>
    <t>Student Transportation Fund and Student Location Factor Funding Included in the 2025/26 First Nation Student Rates</t>
  </si>
  <si>
    <t>Updated April 20, 2026</t>
  </si>
  <si>
    <t>Overall</t>
  </si>
  <si>
    <t>Student Transportation Fund</t>
  </si>
  <si>
    <t>Student Location Factor</t>
  </si>
  <si>
    <t>Supplemental Student Location Factor</t>
  </si>
  <si>
    <t>Total</t>
  </si>
  <si>
    <t>2025/26</t>
  </si>
  <si>
    <t>District</t>
  </si>
  <si>
    <t>% STF</t>
  </si>
  <si>
    <t>% STF-SLF-SSLF</t>
  </si>
  <si>
    <t>School District</t>
  </si>
  <si>
    <t>Allocation</t>
  </si>
  <si>
    <t>Student</t>
  </si>
  <si>
    <t>of Overall</t>
  </si>
  <si>
    <t>FNSR</t>
  </si>
  <si>
    <t>FTE</t>
  </si>
  <si>
    <t>Student Rate</t>
  </si>
  <si>
    <t>Rate - STF</t>
  </si>
  <si>
    <t>FN Rate</t>
  </si>
  <si>
    <t>Rate - SLF</t>
  </si>
  <si>
    <t>Rate - SSLF</t>
  </si>
  <si>
    <t>STF-SLF-SSLF</t>
  </si>
  <si>
    <t xml:space="preserve">  5 Southeast Kootenay</t>
  </si>
  <si>
    <t xml:space="preserve">  6 Rocky Mountain</t>
  </si>
  <si>
    <t xml:space="preserve">  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</si>
  <si>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</si>
  <si>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</si>
  <si>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</si>
  <si>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</si>
  <si>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</si>
  <si>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</si>
  <si>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</si>
  <si>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</si>
  <si>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</si>
  <si>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</si>
  <si>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</si>
  <si>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</si>
  <si>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</si>
  <si>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</si>
  <si>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</si>
  <si>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</si>
  <si>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</si>
  <si>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</si>
  <si>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</si>
  <si>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</si>
  <si>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</si>
  <si>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qathet</t>
  </si>
  <si>
    <t>48 Sea To Sky</t>
  </si>
  <si>
    <t>49 Central Coast</t>
  </si>
  <si>
    <t>50 Haida Gwaii</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</si>
  <si>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</si>
  <si>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</si>
  <si>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</si>
  <si>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</si>
  <si>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</si>
  <si>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</si>
  <si>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</si>
  <si>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</si>
  <si>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</si>
  <si>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</si>
  <si>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</si>
  <si>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</si>
  <si>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</si>
  <si>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</si>
  <si>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</si>
  <si>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70 Pacific Rim</t>
  </si>
  <si>
    <t>71 Comox Valley</t>
  </si>
  <si>
    <t>72 Campbell River</t>
  </si>
  <si>
    <t>73 Kamloops-Thompson</t>
  </si>
  <si>
    <t>74 Gold Trail</t>
  </si>
  <si>
    <t>75 Mission</t>
  </si>
  <si>
    <t>78 Fraser-Cascade</t>
  </si>
  <si>
    <t>79 Cowichan Valley</t>
  </si>
  <si>
    <t>81 Fort Nelson</t>
  </si>
  <si>
    <t>82 Coast Mountains</t>
  </si>
  <si>
    <t>83 K̓wsaltktnéws ne Secwepemcúl’ecw</t>
  </si>
  <si>
    <t>84 Vancouver Island West</t>
  </si>
  <si>
    <t>85 Vancouver Island North</t>
  </si>
  <si>
    <t>87 Stikine</t>
  </si>
  <si>
    <t>91 Nechako Lakes</t>
  </si>
  <si>
    <t>92 Nisga'a</t>
  </si>
  <si>
    <t>93 Conseil Scolaire Francophone</t>
  </si>
  <si>
    <t>99 Provincial Summary</t>
  </si>
  <si>
    <t>Sheet Name</t>
  </si>
  <si>
    <t>Section</t>
  </si>
  <si>
    <t>Row Label</t>
  </si>
  <si>
    <t>Row Value</t>
  </si>
  <si>
    <t>Transportation Report</t>
  </si>
  <si>
    <t>Background</t>
  </si>
  <si>
    <t>SD Number</t>
  </si>
  <si>
    <t>Section A</t>
  </si>
  <si>
    <t>Description of services for all First Nation Students</t>
  </si>
  <si>
    <t>BCTEA funding for pro-rated services?</t>
  </si>
  <si>
    <t>How did the SD engage with First Nations?</t>
  </si>
  <si>
    <t>How has BCTEA funding improved FNS transportation?</t>
  </si>
  <si>
    <t>Section B</t>
  </si>
  <si>
    <t>Section C: 2025/26 Revenue</t>
  </si>
  <si>
    <t>Section C: 2024/25 Spending</t>
  </si>
  <si>
    <t>2024/25 Spending for all student transportation</t>
  </si>
  <si>
    <t>2024/25 Spending for FNS transportation</t>
  </si>
  <si>
    <t>2025/26 Spending for all student transportation</t>
  </si>
  <si>
    <t>2025/26 Spending for FNS transportation</t>
  </si>
  <si>
    <t>Section D</t>
  </si>
  <si>
    <t>BCTEA 2024/25 Carryover</t>
  </si>
  <si>
    <t>Section E</t>
  </si>
  <si>
    <t xml:space="preserve">Total transportation spending for FNS </t>
  </si>
  <si>
    <t>2023-24 Reported BC Residents Attending School - NOT COLLECTED - REMOVE</t>
  </si>
  <si>
    <t>2024-25 Reported BC Residents Requiring Transportation</t>
  </si>
  <si>
    <t>2024-25 Reported Nominal Roll Students Requiring Transportation</t>
  </si>
  <si>
    <t>2023-24 Reported Total Distance Covered Daily by Buses (KM) - NOT COLLECTED - REMOVE</t>
  </si>
  <si>
    <t xml:space="preserve">2024-25 First Nation Students living on reserve  Transportation spending 
(school district reported) to June 30, 2025) </t>
  </si>
  <si>
    <t>2024-25 Actual Student Transportation spending
 (June 30, 2025 audited financial statement)
(all students)</t>
  </si>
  <si>
    <t>2025-26 Revenue (and sources) for all operational costs  
For information
(Table 2A operating grant manual (Dec re-calc based on Sept 1701)</t>
  </si>
  <si>
    <t>2025-26 Student Transportation Fund</t>
  </si>
  <si>
    <t>2025-26 Student Location Factor</t>
  </si>
  <si>
    <t>2025-26 Supplemental
Student Location
Factor Funding</t>
  </si>
  <si>
    <t>2024-25 Amended budget
Student Transportation to Jun 30, 2025 as of Feb 28, 2025
(all students) - WILL NEED TO BE PRE-POPULATED AT LATER DATE</t>
  </si>
  <si>
    <t>2024-25 BCTEA To/from Carryover</t>
  </si>
  <si>
    <t>2024-25 BCTEA EX Carryover - REMAINING AFTER REPURPOSING</t>
  </si>
  <si>
    <t>2024-25 BCTEA Shelter Carryover  - REMAINING AFTER REPURPOSING</t>
  </si>
  <si>
    <t>Total carryover (AFTER REPURPOSING)</t>
  </si>
  <si>
    <t>2025-26 BCTEA Approved</t>
  </si>
  <si>
    <t>2024-25 To/From after to/from C/O applied</t>
  </si>
  <si>
    <t>2025-26 EX Allocation</t>
  </si>
  <si>
    <t>2024-25 CDS Payment</t>
  </si>
  <si>
    <t>Part of 2024-25 CDS Payment that is To/From</t>
  </si>
  <si>
    <t>Part of 2024-25 CDS Payment that is Extracurricular</t>
  </si>
  <si>
    <t>CHECKING BALANCE</t>
  </si>
  <si>
    <t>2023-24 BCTEA Extracurricular Carryover prior to repurposing (confimred amount)</t>
  </si>
  <si>
    <t>2023-24 Carryover Extracurricular repurposed repurposed for to/from</t>
  </si>
  <si>
    <t>2023-24 Carryover Extracurricular repurposed repurposed for Extracurricular</t>
  </si>
  <si>
    <t>Total EX Funds Available for 2024-2025</t>
  </si>
  <si>
    <t>ex Repurposed to TO/FROM - FOR REF. DNU</t>
  </si>
  <si>
    <t>TO/FROM cds - FOR REF. DNU</t>
  </si>
  <si>
    <t>Student Count as per 2022-23 Nominal Roll</t>
  </si>
  <si>
    <t>2025-26 FN_STF</t>
  </si>
  <si>
    <t>2025-26 FN_SLF</t>
  </si>
  <si>
    <t>2025-26 FN_SSLF</t>
  </si>
  <si>
    <t>2025-26 FN_SR</t>
  </si>
  <si>
    <t>Proxy</t>
  </si>
  <si>
    <t>Sample School District</t>
  </si>
  <si>
    <t xml:space="preserve"> Southeast Kootenay</t>
  </si>
  <si>
    <t>Rocky Mountain</t>
  </si>
  <si>
    <t>Kootenay Lake</t>
  </si>
  <si>
    <t xml:space="preserve"> Arrow Lakes</t>
  </si>
  <si>
    <t>Revelstoke</t>
  </si>
  <si>
    <t>Kootenay-Columbia</t>
  </si>
  <si>
    <t>Vernon</t>
  </si>
  <si>
    <t>Central Okanagan</t>
  </si>
  <si>
    <t>Cariboo-Chilcotin</t>
  </si>
  <si>
    <t>Quesnel</t>
  </si>
  <si>
    <t>Chilliwack</t>
  </si>
  <si>
    <t>Abbotsford</t>
  </si>
  <si>
    <t>Langley</t>
  </si>
  <si>
    <t>Surrey</t>
  </si>
  <si>
    <t>Delta</t>
  </si>
  <si>
    <t>Richmond</t>
  </si>
  <si>
    <t>Vancouver</t>
  </si>
  <si>
    <t>New Westminster</t>
  </si>
  <si>
    <t>Burnaby</t>
  </si>
  <si>
    <t>Maple Ridge-Pitt Meadows</t>
  </si>
  <si>
    <t>Coquitlam</t>
  </si>
  <si>
    <t>North Vancouver</t>
  </si>
  <si>
    <t>West Vancouver</t>
  </si>
  <si>
    <t>Sunshine Coast</t>
  </si>
  <si>
    <t>Powell River</t>
  </si>
  <si>
    <t>Sea To Sky</t>
  </si>
  <si>
    <t>Central Coast</t>
  </si>
  <si>
    <t>Haida Gwaii</t>
  </si>
  <si>
    <t>Boundary</t>
  </si>
  <si>
    <t>Prince Rupert</t>
  </si>
  <si>
    <t>Okanagan Similkameen</t>
  </si>
  <si>
    <t>Bulkley Valley</t>
  </si>
  <si>
    <t>Prince George</t>
  </si>
  <si>
    <t>Nicola-Similkameen</t>
  </si>
  <si>
    <t>Peace River South</t>
  </si>
  <si>
    <t>Peace River North</t>
  </si>
  <si>
    <t>Greater Victoria</t>
  </si>
  <si>
    <t>Sooke</t>
  </si>
  <si>
    <t>Saanich</t>
  </si>
  <si>
    <t>Gulf Islands</t>
  </si>
  <si>
    <t>Okanagan Skaha</t>
  </si>
  <si>
    <t>Nanaimo-Ladysmith</t>
  </si>
  <si>
    <t>Qualicum</t>
  </si>
  <si>
    <t>Pacific Rim</t>
  </si>
  <si>
    <t>Comox Valley</t>
  </si>
  <si>
    <t>Campbell River</t>
  </si>
  <si>
    <t>Kamloops-Thompson</t>
  </si>
  <si>
    <t>Gold Trail</t>
  </si>
  <si>
    <t>Mission</t>
  </si>
  <si>
    <t>Fraser-Cascade</t>
  </si>
  <si>
    <t>Cowichan Valley</t>
  </si>
  <si>
    <t>Fort Nelson</t>
  </si>
  <si>
    <t>Coast Mountains</t>
  </si>
  <si>
    <t>North Okanagan-Shuswap</t>
  </si>
  <si>
    <t>Vancouver Island West</t>
  </si>
  <si>
    <t>Vancouver Island North</t>
  </si>
  <si>
    <t>Stikine</t>
  </si>
  <si>
    <t>Nechako Lakes</t>
  </si>
  <si>
    <t>Nisga'a</t>
  </si>
  <si>
    <t>Conseil Scolaire Francophone</t>
  </si>
  <si>
    <t>2024/2025 To/From Approved before tf co applied</t>
  </si>
  <si>
    <t>2024/25 SS Approved before tf co applied</t>
  </si>
  <si>
    <t>Approximate total transportation proxy</t>
  </si>
  <si>
    <t>All students requiring transportation</t>
  </si>
  <si>
    <t>Nominal Roll students requiring transportation</t>
  </si>
  <si>
    <t>2025/26 Provincial operating grant</t>
  </si>
  <si>
    <t>2025/26 SLF within the operating grant</t>
  </si>
  <si>
    <t>2025/26 SSLF within the operating grant</t>
  </si>
  <si>
    <t>2025/26 STF</t>
  </si>
  <si>
    <t>2025/26 Total provincial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</si>
</sst>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quot;$&quot;* #,##0_-;_-&quot;$&quot;* &quot;-&quot;_-;_-@_-"/>
    <numFmt numFmtId="44" formatCode="_-&quot;$&quot;* #,##0.00_-;\-&quot;$&quot;* #,##0.00_-;_-&quot;$&quot;* &quot;-&quot;??_-;_-@_-"/>
    <numFmt numFmtId="43" formatCode="_-* #,##0.00_-;\-* #,##0.00_-;_-* &quot;-&quot;??_-;_-@_-"/>
    <numFmt numFmtId="164" formatCode="_(* #,##0_);_(* \(#,##0\);_(* &quot;-&quot;_);_(@_)"/>
    <numFmt numFmtId="165" formatCode="_(* #,##0_);_(* \(#,##0\);_(* &quot;-&quot;??_);_(@_)"/>
    <numFmt numFmtId="166" formatCode="&quot;$&quot;* #,##0\ \ ;[Red]&quot;$&quot;* \(#,##0\)_ ;&quot;$&quot;\ * &quot;-&quot;_?"/>
    <numFmt numFmtId="167" formatCode="\ * #,##0\ \ ;[Red]\-* \ #,##0\ _ ;\ \ * &quot;-&quot;_?"/>
    <numFmt numFmtId="168" formatCode="_-* #,##0_-;\-* #,##0_-;_-* &quot;-&quot;??_-;_-@_-"/>
    <numFmt numFmtId="169" formatCode="&quot;$&quot;#,##0"/>
    <numFmt numFmtId="170" formatCode="#,##0;[Red]#,##0"/>
    <numFmt numFmtId="171" formatCode="0.0%"/>
    <numFmt numFmtId="172" formatCode="_(* #,##0_);[Red]_(* \(#,##0\);_(* &quot;-&quot;_);_(@_)"/>
    <numFmt numFmtId="173" formatCode="_(&quot;$&quot;* #,##0_);[Red]_(&quot;$&quot;* \(#,##0\);_(&quot;$&quot;* &quot;-&quot;_);_(@_)"/>
    <numFmt numFmtId="174" formatCode="_-&quot;$&quot;* #,##0_-;\-&quot;$&quot;* #,##0_-;_-&quot;$&quot;* &quot;-&quot;??_-;_-@_-"/>
    <numFmt numFmtId="175" formatCode="_(* #,##0.0000_);_(* \(#,##0.0000\);_(* &quot;-&quot;????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2"/>
      <name val="Arial"/>
      <family val="2"/>
    </font>
    <font>
      <sz val="12"/>
      <color theme="1"/>
      <name val="Calibri"/>
      <family val="2"/>
      <scheme val="minor"/>
    </font>
    <font>
      <sz val="9"/>
      <color theme="1"/>
      <name val="Calibri"/>
      <family val="2"/>
      <scheme val="minor"/>
    </font>
    <font>
      <b/>
      <u/>
      <sz val="11"/>
      <name val="Calibri"/>
      <family val="2"/>
      <scheme val="minor"/>
    </font>
    <font>
      <sz val="8"/>
      <name val="Calibri"/>
      <family val="2"/>
      <scheme val="minor"/>
    </font>
    <font>
      <u/>
      <sz val="11"/>
      <color theme="10"/>
      <name val="Calibri"/>
      <family val="2"/>
      <scheme val="minor"/>
    </font>
    <font>
      <sz val="10"/>
      <color theme="1"/>
      <name val="Calibri"/>
      <family val="2"/>
      <scheme val="minor"/>
    </font>
    <font>
      <sz val="9"/>
      <color indexed="81"/>
      <name val="Tahoma"/>
      <family val="2"/>
    </font>
    <font>
      <b/>
      <sz val="9"/>
      <color indexed="81"/>
      <name val="Tahoma"/>
      <family val="2"/>
    </font>
    <font>
      <sz val="10"/>
      <name val="Calibri"/>
      <family val="2"/>
      <scheme val="minor"/>
    </font>
    <font>
      <sz val="9"/>
      <name val="Calibri"/>
      <family val="2"/>
      <scheme val="minor"/>
    </font>
    <font>
      <b/>
      <sz val="11"/>
      <color theme="5"/>
      <name val="Calibri"/>
      <family val="2"/>
      <scheme val="minor"/>
    </font>
    <font>
      <b/>
      <sz val="18"/>
      <color theme="4" tint="-0.499984740745262"/>
      <name val="Calibri"/>
      <family val="2"/>
      <scheme val="minor"/>
    </font>
    <font>
      <sz val="9"/>
      <color theme="1"/>
      <name val="Segoe UI"/>
      <family val="2"/>
    </font>
    <font>
      <i/>
      <sz val="11"/>
      <name val="Calibri"/>
      <family val="2"/>
      <scheme val="minor"/>
    </font>
    <font>
      <sz val="10.5"/>
      <name val="Calibri"/>
      <family val="2"/>
      <scheme val="minor"/>
    </font>
    <font>
      <b/>
      <sz val="11"/>
      <color theme="0"/>
      <name val="Calibri"/>
      <family val="2"/>
      <scheme val="minor"/>
    </font>
    <font>
      <b/>
      <sz val="12"/>
      <color theme="1"/>
      <name val="Calibri"/>
      <family val="2"/>
      <scheme val="minor"/>
    </font>
    <font>
      <sz val="11"/>
      <color rgb="FF000000"/>
      <name val="Aptos Narrow"/>
      <family val="2"/>
    </font>
    <font>
      <sz val="11"/>
      <color rgb="FF000000"/>
      <name val="Calibri"/>
      <family val="2"/>
      <scheme val="minor"/>
    </font>
    <font>
      <b/>
      <sz val="14"/>
      <color theme="1"/>
      <name val="Calibri"/>
      <family val="2"/>
      <scheme val="minor"/>
    </font>
    <font>
      <b/>
      <sz val="12"/>
      <name val="Calibri"/>
      <family val="2"/>
      <scheme val="minor"/>
    </font>
    <font>
      <sz val="12"/>
      <name val="Calibri"/>
      <family val="2"/>
      <scheme val="minor"/>
    </font>
    <font>
      <u/>
      <sz val="12"/>
      <color theme="10"/>
      <name val="Calibri"/>
      <family val="2"/>
      <scheme val="minor"/>
    </font>
    <font>
      <sz val="12"/>
      <color rgb="FFFF0000"/>
      <name val="Calibri"/>
      <family val="2"/>
      <scheme val="minor"/>
    </font>
    <font>
      <b/>
      <sz val="12"/>
      <color theme="0"/>
      <name val="Calibri"/>
      <family val="2"/>
      <scheme val="minor"/>
    </font>
    <font>
      <b/>
      <sz val="14"/>
      <color theme="0"/>
      <name val="Calibri"/>
      <family val="2"/>
      <scheme val="minor"/>
    </font>
    <font>
      <i/>
      <sz val="12"/>
      <name val="Calibri"/>
      <family val="2"/>
      <scheme val="minor"/>
    </font>
    <font>
      <sz val="18"/>
      <name val="Calibri"/>
      <family val="2"/>
      <scheme val="minor"/>
    </font>
    <font>
      <b/>
      <strike/>
      <sz val="18"/>
      <color theme="4" tint="-0.499984740745262"/>
      <name val="Calibri"/>
      <family val="2"/>
      <scheme val="minor"/>
    </font>
    <font>
      <sz val="11"/>
      <color theme="0" tint="-0.249977111117893"/>
      <name val="Calibri"/>
      <family val="2"/>
      <scheme val="minor"/>
    </font>
    <font>
      <sz val="9"/>
      <color theme="0" tint="-0.249977111117893"/>
      <name val="Calibri"/>
      <family val="2"/>
      <scheme val="minor"/>
    </font>
    <font>
      <strike/>
      <sz val="9"/>
      <name val="Calibri"/>
      <family val="2"/>
      <scheme val="minor"/>
    </font>
    <font>
      <sz val="11"/>
      <color theme="9"/>
      <name val="Calibri"/>
      <family val="2"/>
      <scheme val="minor"/>
    </font>
    <font>
      <b/>
      <sz val="18"/>
      <color theme="3" tint="-0.249977111117893"/>
      <name val="Calibri"/>
      <family val="2"/>
      <scheme val="minor"/>
    </font>
    <font>
      <sz val="11"/>
      <color theme="0"/>
      <name val="Calibri"/>
      <family val="2"/>
      <scheme val="minor"/>
    </font>
    <font>
      <sz val="9"/>
      <color indexed="81"/>
      <name val="Tahoma"/>
      <charset val="1"/>
    </font>
  </fonts>
  <fills count="16">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33CC"/>
        <bgColor indexed="64"/>
      </patternFill>
    </fill>
    <fill>
      <patternFill patternType="solid">
        <fgColor theme="0" tint="-4.9989318521683403E-2"/>
        <bgColor indexed="64"/>
      </patternFill>
    </fill>
    <fill>
      <patternFill patternType="solid">
        <fgColor rgb="FFD0D0D0"/>
        <bgColor rgb="FF000000"/>
      </patternFill>
    </fill>
    <fill>
      <patternFill patternType="solid">
        <fgColor theme="8" tint="0.59999389629810485"/>
        <bgColor indexed="64"/>
      </patternFill>
    </fill>
    <fill>
      <patternFill patternType="solid">
        <fgColor rgb="FFF8F8F8"/>
        <bgColor indexed="64"/>
      </patternFill>
    </fill>
    <fill>
      <patternFill patternType="solid">
        <fgColor theme="4" tint="0.39997558519241921"/>
        <bgColor indexed="64"/>
      </patternFill>
    </fill>
    <fill>
      <patternFill patternType="solid">
        <fgColor rgb="FFE9EDF7"/>
        <bgColor indexed="64"/>
      </patternFill>
    </fill>
    <fill>
      <patternFill patternType="solid">
        <fgColor rgb="FFD9E1F2"/>
        <bgColor indexed="64"/>
      </patternFill>
    </fill>
    <fill>
      <patternFill patternType="solid">
        <fgColor rgb="FFF3F6FB"/>
        <bgColor indexed="64"/>
      </patternFill>
    </fill>
    <fill>
      <patternFill patternType="solid">
        <fgColor rgb="FFFFFF00"/>
        <bgColor indexed="64"/>
      </patternFill>
    </fill>
  </fills>
  <borders count="70">
    <border>
      <left/>
      <right/>
      <top/>
      <bottom/>
      <diagonal/>
    </border>
    <border>
      <left/>
      <right/>
      <top/>
      <bottom style="dotted">
        <color theme="4" tint="-0.24994659260841701"/>
      </bottom>
      <diagonal/>
    </border>
    <border>
      <left/>
      <right/>
      <top style="dotted">
        <color theme="4" tint="-0.24994659260841701"/>
      </top>
      <bottom style="dotted">
        <color theme="4" tint="-0.2499465926084170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bottom/>
      <diagonal/>
    </border>
    <border>
      <left/>
      <right/>
      <top style="thin">
        <color indexed="64"/>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top style="thin">
        <color theme="4" tint="-0.499984740745262"/>
      </top>
      <bottom style="thin">
        <color indexed="64"/>
      </bottom>
      <diagonal/>
    </border>
    <border>
      <left/>
      <right style="thin">
        <color indexed="64"/>
      </right>
      <top style="thin">
        <color theme="4" tint="-0.499984740745262"/>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theme="4" tint="-0.499984740745262"/>
      </bottom>
      <diagonal/>
    </border>
    <border>
      <left/>
      <right style="thin">
        <color indexed="64"/>
      </right>
      <top style="thin">
        <color theme="4" tint="-0.499984740745262"/>
      </top>
      <bottom style="thin">
        <color theme="4" tint="-0.499984740745262"/>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diagonal/>
    </border>
    <border>
      <left/>
      <right/>
      <top style="thin">
        <color theme="2" tint="-0.749992370372631"/>
      </top>
      <bottom/>
      <diagonal/>
    </border>
    <border>
      <left/>
      <right style="thin">
        <color theme="2" tint="-0.749992370372631"/>
      </right>
      <top style="thin">
        <color theme="2" tint="-0.749992370372631"/>
      </top>
      <bottom/>
      <diagonal/>
    </border>
    <border>
      <left style="thin">
        <color theme="2" tint="-0.749992370372631"/>
      </left>
      <right/>
      <top/>
      <bottom/>
      <diagonal/>
    </border>
    <border>
      <left/>
      <right style="thin">
        <color theme="2" tint="-0.749992370372631"/>
      </right>
      <top/>
      <bottom/>
      <diagonal/>
    </border>
    <border>
      <left/>
      <right style="thin">
        <color theme="2" tint="-0.749992370372631"/>
      </right>
      <top/>
      <bottom style="thin">
        <color indexed="64"/>
      </bottom>
      <diagonal/>
    </border>
    <border>
      <left style="thin">
        <color theme="2" tint="-0.749992370372631"/>
      </left>
      <right/>
      <top style="thin">
        <color indexed="64"/>
      </top>
      <bottom style="thin">
        <color indexed="64"/>
      </bottom>
      <diagonal/>
    </border>
    <border>
      <left/>
      <right style="thin">
        <color theme="2" tint="-0.749992370372631"/>
      </right>
      <top style="thin">
        <color indexed="64"/>
      </top>
      <bottom style="thin">
        <color indexed="64"/>
      </bottom>
      <diagonal/>
    </border>
    <border>
      <left style="thin">
        <color theme="2" tint="-0.749992370372631"/>
      </left>
      <right style="thin">
        <color indexed="64"/>
      </right>
      <top/>
      <bottom style="thin">
        <color indexed="64"/>
      </bottom>
      <diagonal/>
    </border>
    <border>
      <left style="thin">
        <color theme="2" tint="-0.749992370372631"/>
      </left>
      <right style="thin">
        <color indexed="64"/>
      </right>
      <top style="thin">
        <color indexed="64"/>
      </top>
      <bottom style="thin">
        <color indexed="64"/>
      </bottom>
      <diagonal/>
    </border>
    <border>
      <left style="thin">
        <color indexed="64"/>
      </left>
      <right style="thin">
        <color theme="2" tint="-0.749992370372631"/>
      </right>
      <top style="thin">
        <color indexed="64"/>
      </top>
      <bottom style="thin">
        <color indexed="64"/>
      </bottom>
      <diagonal/>
    </border>
    <border>
      <left style="thin">
        <color theme="2" tint="-0.749992370372631"/>
      </left>
      <right/>
      <top style="thin">
        <color indexed="64"/>
      </top>
      <bottom style="thin">
        <color theme="4" tint="-0.499984740745262"/>
      </bottom>
      <diagonal/>
    </border>
    <border>
      <left style="thin">
        <color theme="2" tint="-0.749992370372631"/>
      </left>
      <right/>
      <top style="thin">
        <color theme="4" tint="-0.499984740745262"/>
      </top>
      <bottom style="thin">
        <color theme="4" tint="-0.499984740745262"/>
      </bottom>
      <diagonal/>
    </border>
    <border>
      <left style="thin">
        <color theme="2" tint="-0.749992370372631"/>
      </left>
      <right/>
      <top style="thin">
        <color theme="4" tint="-0.499984740745262"/>
      </top>
      <bottom style="thin">
        <color indexed="64"/>
      </bottom>
      <diagonal/>
    </border>
    <border>
      <left style="thin">
        <color theme="2" tint="-0.749992370372631"/>
      </left>
      <right/>
      <top style="thin">
        <color indexed="64"/>
      </top>
      <bottom/>
      <diagonal/>
    </border>
    <border>
      <left/>
      <right style="thin">
        <color theme="2" tint="-0.749992370372631"/>
      </right>
      <top style="thin">
        <color indexed="64"/>
      </top>
      <bottom/>
      <diagonal/>
    </border>
    <border>
      <left style="thin">
        <color theme="2" tint="-0.749992370372631"/>
      </left>
      <right/>
      <top style="thin">
        <color theme="4" tint="-0.499984740745262"/>
      </top>
      <bottom/>
      <diagonal/>
    </border>
    <border>
      <left/>
      <right style="thin">
        <color theme="2" tint="-0.749992370372631"/>
      </right>
      <top/>
      <bottom style="dotted">
        <color indexed="64"/>
      </bottom>
      <diagonal/>
    </border>
    <border>
      <left/>
      <right style="thin">
        <color theme="2" tint="-0.749992370372631"/>
      </right>
      <top/>
      <bottom style="dotted">
        <color theme="4" tint="-0.24994659260841701"/>
      </bottom>
      <diagonal/>
    </border>
    <border>
      <left style="thin">
        <color theme="2" tint="-0.749992370372631"/>
      </left>
      <right/>
      <top/>
      <bottom style="thin">
        <color theme="2" tint="-0.749992370372631"/>
      </bottom>
      <diagonal/>
    </border>
    <border>
      <left/>
      <right/>
      <top/>
      <bottom style="thin">
        <color theme="2" tint="-0.749992370372631"/>
      </bottom>
      <diagonal/>
    </border>
    <border>
      <left/>
      <right style="thin">
        <color theme="2" tint="-0.749992370372631"/>
      </right>
      <top/>
      <bottom style="thin">
        <color theme="2" tint="-0.749992370372631"/>
      </bottom>
      <diagonal/>
    </border>
    <border>
      <left style="thin">
        <color theme="2" tint="-0.749992370372631"/>
      </left>
      <right/>
      <top/>
      <bottom style="dotted">
        <color theme="2" tint="-0.749992370372631"/>
      </bottom>
      <diagonal/>
    </border>
    <border>
      <left/>
      <right/>
      <top/>
      <bottom style="dotted">
        <color theme="2" tint="-0.749992370372631"/>
      </bottom>
      <diagonal/>
    </border>
  </borders>
  <cellStyleXfs count="10">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8" fillId="0" borderId="0"/>
    <xf numFmtId="44" fontId="8"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57">
    <xf numFmtId="0" fontId="0" fillId="0" borderId="0" xfId="0"/>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wrapText="1"/>
    </xf>
    <xf numFmtId="169" fontId="0" fillId="0" borderId="0" xfId="0" applyNumberFormat="1"/>
    <xf numFmtId="166" fontId="5" fillId="2" borderId="1" xfId="3" applyNumberFormat="1" applyFont="1" applyFill="1" applyBorder="1" applyAlignment="1" applyProtection="1">
      <alignment horizontal="right"/>
    </xf>
    <xf numFmtId="166" fontId="5" fillId="2" borderId="10" xfId="3" applyNumberFormat="1" applyFont="1" applyFill="1" applyBorder="1" applyAlignment="1" applyProtection="1">
      <alignment horizontal="right"/>
    </xf>
    <xf numFmtId="164" fontId="5" fillId="0" borderId="0" xfId="3" applyNumberFormat="1" applyFont="1" applyFill="1" applyBorder="1" applyAlignment="1" applyProtection="1">
      <alignment horizontal="right"/>
    </xf>
    <xf numFmtId="0" fontId="8" fillId="0" borderId="0" xfId="5"/>
    <xf numFmtId="37" fontId="5" fillId="5" borderId="0" xfId="2" applyNumberFormat="1" applyFont="1" applyFill="1"/>
    <xf numFmtId="37" fontId="5" fillId="0" borderId="0" xfId="2" applyNumberFormat="1" applyFont="1"/>
    <xf numFmtId="37" fontId="5" fillId="2" borderId="0" xfId="2" applyNumberFormat="1" applyFont="1" applyFill="1" applyAlignment="1">
      <alignment horizontal="center"/>
    </xf>
    <xf numFmtId="37" fontId="5" fillId="2" borderId="0" xfId="2" applyNumberFormat="1" applyFont="1" applyFill="1"/>
    <xf numFmtId="37" fontId="6" fillId="2" borderId="0" xfId="4" applyNumberFormat="1" applyFont="1" applyFill="1" applyAlignment="1">
      <alignment vertical="top"/>
    </xf>
    <xf numFmtId="37" fontId="5" fillId="2" borderId="0" xfId="2" applyNumberFormat="1" applyFont="1" applyFill="1" applyAlignment="1">
      <alignment horizontal="left" indent="1"/>
    </xf>
    <xf numFmtId="37" fontId="5" fillId="3" borderId="3" xfId="2" applyNumberFormat="1" applyFont="1" applyFill="1" applyBorder="1" applyAlignment="1">
      <alignment horizontal="left" indent="1"/>
    </xf>
    <xf numFmtId="37" fontId="5" fillId="3" borderId="3" xfId="2" applyNumberFormat="1" applyFont="1" applyFill="1" applyBorder="1"/>
    <xf numFmtId="37" fontId="5" fillId="3" borderId="14" xfId="2" applyNumberFormat="1" applyFont="1" applyFill="1" applyBorder="1"/>
    <xf numFmtId="37" fontId="5" fillId="2" borderId="0" xfId="2" applyNumberFormat="1" applyFont="1" applyFill="1" applyAlignment="1">
      <alignment vertical="center" wrapText="1"/>
    </xf>
    <xf numFmtId="37" fontId="5" fillId="0" borderId="0" xfId="2" applyNumberFormat="1" applyFont="1" applyAlignment="1">
      <alignment wrapText="1"/>
    </xf>
    <xf numFmtId="37" fontId="6" fillId="2" borderId="0" xfId="4" applyNumberFormat="1" applyFont="1" applyFill="1" applyAlignment="1">
      <alignment horizontal="left" vertical="top"/>
    </xf>
    <xf numFmtId="37" fontId="6" fillId="2" borderId="0" xfId="4" applyNumberFormat="1" applyFont="1" applyFill="1" applyAlignment="1">
      <alignment horizontal="left" vertical="top" wrapText="1"/>
    </xf>
    <xf numFmtId="37" fontId="5" fillId="4" borderId="3" xfId="2" applyNumberFormat="1" applyFont="1" applyFill="1" applyBorder="1" applyAlignment="1">
      <alignment horizontal="center" vertical="top" wrapText="1"/>
    </xf>
    <xf numFmtId="37" fontId="5" fillId="4" borderId="6" xfId="2" applyNumberFormat="1" applyFont="1" applyFill="1" applyBorder="1" applyAlignment="1">
      <alignment horizontal="center" vertical="top" wrapText="1"/>
    </xf>
    <xf numFmtId="37" fontId="5" fillId="4" borderId="11" xfId="2" applyNumberFormat="1" applyFont="1" applyFill="1" applyBorder="1" applyAlignment="1">
      <alignment horizontal="center" vertical="top" wrapText="1"/>
    </xf>
    <xf numFmtId="0" fontId="1" fillId="0" borderId="0" xfId="0" applyFont="1" applyAlignment="1">
      <alignment wrapText="1"/>
    </xf>
    <xf numFmtId="37" fontId="6" fillId="2" borderId="0" xfId="4" applyNumberFormat="1" applyFont="1" applyFill="1"/>
    <xf numFmtId="0" fontId="3" fillId="2" borderId="0" xfId="0" applyFont="1" applyFill="1" applyAlignment="1">
      <alignment horizontal="left" vertical="top" wrapText="1"/>
    </xf>
    <xf numFmtId="37" fontId="5" fillId="2" borderId="0" xfId="3" applyNumberFormat="1" applyFont="1" applyFill="1" applyProtection="1"/>
    <xf numFmtId="0" fontId="1" fillId="2" borderId="0" xfId="0" applyFont="1" applyFill="1" applyAlignment="1">
      <alignment wrapText="1"/>
    </xf>
    <xf numFmtId="0" fontId="9" fillId="2" borderId="0" xfId="0" applyFont="1" applyFill="1" applyAlignment="1">
      <alignment wrapText="1"/>
    </xf>
    <xf numFmtId="37" fontId="5" fillId="2" borderId="10" xfId="3" applyNumberFormat="1" applyFont="1" applyFill="1" applyBorder="1" applyProtection="1"/>
    <xf numFmtId="0" fontId="0" fillId="2" borderId="1" xfId="0" applyFill="1" applyBorder="1" applyAlignment="1">
      <alignment horizontal="left" wrapText="1" indent="2"/>
    </xf>
    <xf numFmtId="166" fontId="5" fillId="2" borderId="1" xfId="2" applyNumberFormat="1" applyFont="1" applyFill="1" applyBorder="1"/>
    <xf numFmtId="37" fontId="6" fillId="2" borderId="1" xfId="2" applyNumberFormat="1" applyFont="1" applyFill="1" applyBorder="1" applyAlignment="1">
      <alignment wrapText="1"/>
    </xf>
    <xf numFmtId="37" fontId="5" fillId="2" borderId="1" xfId="2" applyNumberFormat="1" applyFont="1" applyFill="1" applyBorder="1"/>
    <xf numFmtId="166" fontId="6" fillId="2" borderId="8" xfId="2" applyNumberFormat="1" applyFont="1" applyFill="1" applyBorder="1"/>
    <xf numFmtId="0" fontId="1" fillId="2" borderId="1" xfId="0" applyFont="1" applyFill="1" applyBorder="1" applyAlignment="1">
      <alignment wrapText="1"/>
    </xf>
    <xf numFmtId="37" fontId="2" fillId="0" borderId="0" xfId="2" applyNumberFormat="1" applyFont="1"/>
    <xf numFmtId="166" fontId="6" fillId="4" borderId="0" xfId="2" applyNumberFormat="1" applyFont="1" applyFill="1"/>
    <xf numFmtId="37" fontId="6" fillId="4" borderId="0" xfId="4" applyNumberFormat="1" applyFont="1" applyFill="1"/>
    <xf numFmtId="0" fontId="2" fillId="4" borderId="0" xfId="0" applyFont="1" applyFill="1" applyAlignment="1">
      <alignment horizontal="left" vertical="top" wrapText="1" indent="6"/>
    </xf>
    <xf numFmtId="0" fontId="1" fillId="4" borderId="0" xfId="0" applyFont="1" applyFill="1" applyAlignment="1">
      <alignment wrapText="1"/>
    </xf>
    <xf numFmtId="166" fontId="5" fillId="4" borderId="0" xfId="2" applyNumberFormat="1" applyFont="1" applyFill="1" applyAlignment="1">
      <alignment horizontal="center"/>
    </xf>
    <xf numFmtId="166" fontId="5" fillId="4" borderId="0" xfId="2" applyNumberFormat="1" applyFont="1" applyFill="1"/>
    <xf numFmtId="0" fontId="8" fillId="0" borderId="0" xfId="0" applyFont="1" applyAlignment="1">
      <alignment horizontal="left" vertical="top" wrapText="1"/>
    </xf>
    <xf numFmtId="166" fontId="0" fillId="2" borderId="0" xfId="0" applyNumberFormat="1" applyFill="1" applyAlignment="1">
      <alignment horizontal="center" vertical="top" wrapText="1"/>
    </xf>
    <xf numFmtId="166" fontId="6" fillId="2" borderId="8" xfId="2" applyNumberFormat="1" applyFont="1" applyFill="1" applyBorder="1" applyAlignment="1">
      <alignment wrapText="1"/>
    </xf>
    <xf numFmtId="37" fontId="6" fillId="2" borderId="0" xfId="2" applyNumberFormat="1" applyFont="1" applyFill="1"/>
    <xf numFmtId="37" fontId="6" fillId="2" borderId="0" xfId="2" applyNumberFormat="1" applyFont="1" applyFill="1" applyAlignment="1">
      <alignment wrapText="1"/>
    </xf>
    <xf numFmtId="166" fontId="5" fillId="2" borderId="0" xfId="2" applyNumberFormat="1" applyFont="1" applyFill="1"/>
    <xf numFmtId="166" fontId="6" fillId="2" borderId="0" xfId="2" quotePrefix="1" applyNumberFormat="1" applyFont="1" applyFill="1"/>
    <xf numFmtId="37" fontId="5" fillId="0" borderId="0" xfId="3" applyNumberFormat="1" applyFont="1" applyProtection="1"/>
    <xf numFmtId="165" fontId="5" fillId="0" borderId="0" xfId="1" applyNumberFormat="1" applyFont="1" applyFill="1" applyAlignment="1" applyProtection="1">
      <alignment horizontal="center"/>
    </xf>
    <xf numFmtId="168" fontId="5" fillId="3" borderId="6" xfId="1" applyNumberFormat="1" applyFont="1" applyFill="1" applyBorder="1" applyAlignment="1" applyProtection="1">
      <alignment horizontal="center" vertical="center"/>
      <protection locked="0"/>
    </xf>
    <xf numFmtId="166" fontId="5" fillId="2" borderId="8" xfId="2" applyNumberFormat="1" applyFont="1" applyFill="1" applyBorder="1" applyAlignment="1">
      <alignment wrapText="1"/>
    </xf>
    <xf numFmtId="170" fontId="1" fillId="2" borderId="1" xfId="2" applyNumberFormat="1" applyFont="1" applyFill="1" applyBorder="1" applyAlignment="1">
      <alignment wrapText="1"/>
    </xf>
    <xf numFmtId="166" fontId="5" fillId="2" borderId="1" xfId="2" applyNumberFormat="1" applyFont="1" applyFill="1" applyBorder="1" applyAlignment="1">
      <alignment wrapText="1"/>
    </xf>
    <xf numFmtId="37" fontId="16" fillId="0" borderId="0" xfId="2" applyNumberFormat="1" applyFont="1" applyAlignment="1">
      <alignment horizontal="left" vertical="top" wrapText="1"/>
    </xf>
    <xf numFmtId="0" fontId="12" fillId="2" borderId="10" xfId="7" applyFill="1" applyBorder="1" applyAlignment="1" applyProtection="1">
      <alignment wrapText="1"/>
    </xf>
    <xf numFmtId="37" fontId="5" fillId="0" borderId="0" xfId="2" applyNumberFormat="1" applyFont="1" applyAlignment="1">
      <alignment horizontal="left" vertical="top" wrapText="1"/>
    </xf>
    <xf numFmtId="37" fontId="5" fillId="2" borderId="10" xfId="3" applyNumberFormat="1" applyFont="1" applyFill="1" applyBorder="1" applyAlignment="1" applyProtection="1"/>
    <xf numFmtId="166" fontId="6" fillId="2" borderId="0" xfId="2" applyNumberFormat="1" applyFont="1" applyFill="1" applyAlignment="1">
      <alignment wrapText="1"/>
    </xf>
    <xf numFmtId="37" fontId="6" fillId="4" borderId="0" xfId="4" applyNumberFormat="1" applyFont="1" applyFill="1" applyAlignment="1">
      <alignment vertical="top"/>
    </xf>
    <xf numFmtId="37" fontId="5" fillId="2" borderId="0" xfId="4" applyNumberFormat="1" applyFont="1" applyFill="1" applyAlignment="1">
      <alignment horizontal="left" vertical="top" wrapText="1"/>
    </xf>
    <xf numFmtId="0" fontId="1" fillId="2" borderId="1" xfId="0" applyFont="1" applyFill="1" applyBorder="1" applyAlignment="1">
      <alignment horizontal="left" wrapText="1" indent="2"/>
    </xf>
    <xf numFmtId="166" fontId="5" fillId="2" borderId="1" xfId="2" applyNumberFormat="1" applyFont="1" applyFill="1" applyBorder="1" applyAlignment="1">
      <alignment horizontal="center" wrapText="1"/>
    </xf>
    <xf numFmtId="37" fontId="5" fillId="2" borderId="15" xfId="4" applyNumberFormat="1" applyFont="1" applyFill="1" applyBorder="1" applyAlignment="1">
      <alignment horizontal="left" vertical="top" wrapText="1"/>
    </xf>
    <xf numFmtId="0" fontId="0" fillId="0" borderId="25" xfId="0" applyBorder="1" applyAlignment="1">
      <alignment horizontal="left" vertical="center" indent="5"/>
    </xf>
    <xf numFmtId="37" fontId="5" fillId="2" borderId="11" xfId="2" applyNumberFormat="1" applyFont="1" applyFill="1" applyBorder="1" applyAlignment="1">
      <alignment horizontal="left" vertical="center" wrapText="1"/>
    </xf>
    <xf numFmtId="9" fontId="17" fillId="2" borderId="11" xfId="8" applyFont="1" applyFill="1" applyBorder="1" applyAlignment="1" applyProtection="1">
      <alignment horizontal="center" vertical="center" wrapText="1"/>
    </xf>
    <xf numFmtId="166" fontId="6" fillId="2" borderId="1" xfId="2" applyNumberFormat="1" applyFont="1" applyFill="1" applyBorder="1" applyAlignment="1">
      <alignment horizontal="center" wrapText="1"/>
    </xf>
    <xf numFmtId="37" fontId="17" fillId="2" borderId="11" xfId="2" applyNumberFormat="1" applyFont="1" applyFill="1" applyBorder="1" applyAlignment="1">
      <alignment horizontal="center" vertical="center" wrapText="1"/>
    </xf>
    <xf numFmtId="37" fontId="5" fillId="0" borderId="0" xfId="3" applyNumberFormat="1" applyFont="1" applyBorder="1" applyProtection="1"/>
    <xf numFmtId="37" fontId="5" fillId="2" borderId="0" xfId="2" applyNumberFormat="1" applyFont="1" applyFill="1" applyAlignment="1">
      <alignment horizontal="center" vertical="center"/>
    </xf>
    <xf numFmtId="166" fontId="6" fillId="2" borderId="0" xfId="2" applyNumberFormat="1" applyFont="1" applyFill="1"/>
    <xf numFmtId="0" fontId="0" fillId="0" borderId="0" xfId="0" applyAlignment="1">
      <alignment vertical="top" wrapText="1"/>
    </xf>
    <xf numFmtId="37" fontId="5" fillId="2" borderId="11" xfId="2" applyNumberFormat="1" applyFont="1" applyFill="1" applyBorder="1" applyAlignment="1">
      <alignment horizontal="center" vertical="center" wrapText="1"/>
    </xf>
    <xf numFmtId="9" fontId="5" fillId="2" borderId="11" xfId="8" applyFont="1" applyFill="1" applyBorder="1" applyAlignment="1" applyProtection="1">
      <alignment horizontal="center" vertical="center" wrapText="1"/>
    </xf>
    <xf numFmtId="37" fontId="5" fillId="3" borderId="29" xfId="2" applyNumberFormat="1" applyFont="1" applyFill="1" applyBorder="1" applyAlignment="1">
      <alignment horizontal="left" vertical="top" wrapText="1"/>
    </xf>
    <xf numFmtId="37" fontId="5" fillId="3" borderId="30" xfId="2" applyNumberFormat="1" applyFont="1" applyFill="1" applyBorder="1" applyAlignment="1">
      <alignment horizontal="left" vertical="top" wrapText="1"/>
    </xf>
    <xf numFmtId="0" fontId="0" fillId="3" borderId="28" xfId="0" applyFill="1" applyBorder="1"/>
    <xf numFmtId="0" fontId="0" fillId="0" borderId="0" xfId="0" applyAlignment="1">
      <alignment horizontal="left"/>
    </xf>
    <xf numFmtId="37" fontId="6" fillId="2" borderId="0" xfId="4" applyNumberFormat="1" applyFont="1" applyFill="1" applyAlignment="1">
      <alignment horizontal="center" wrapText="1"/>
    </xf>
    <xf numFmtId="0" fontId="8" fillId="0" borderId="32" xfId="5" applyBorder="1" applyAlignment="1">
      <alignment vertical="top" wrapText="1"/>
    </xf>
    <xf numFmtId="0" fontId="8" fillId="0" borderId="28" xfId="5" applyBorder="1" applyAlignment="1">
      <alignment vertical="top"/>
    </xf>
    <xf numFmtId="0" fontId="0" fillId="0" borderId="28" xfId="0" applyBorder="1" applyAlignment="1">
      <alignment vertical="top"/>
    </xf>
    <xf numFmtId="0" fontId="20" fillId="0" borderId="0" xfId="0" applyFont="1" applyAlignment="1">
      <alignment vertical="center"/>
    </xf>
    <xf numFmtId="167" fontId="5" fillId="3" borderId="17" xfId="2" applyNumberFormat="1" applyFont="1" applyFill="1" applyBorder="1" applyAlignment="1" applyProtection="1">
      <alignment horizontal="center" vertical="center"/>
      <protection locked="0"/>
    </xf>
    <xf numFmtId="167" fontId="5" fillId="3" borderId="11" xfId="2" applyNumberFormat="1" applyFont="1" applyFill="1" applyBorder="1" applyAlignment="1" applyProtection="1">
      <alignment horizontal="center" vertical="center"/>
      <protection locked="0"/>
    </xf>
    <xf numFmtId="166" fontId="5" fillId="3" borderId="3" xfId="2" applyNumberFormat="1" applyFont="1" applyFill="1" applyBorder="1" applyAlignment="1" applyProtection="1">
      <alignment horizontal="center"/>
      <protection locked="0"/>
    </xf>
    <xf numFmtId="166" fontId="5" fillId="3" borderId="8" xfId="2" applyNumberFormat="1" applyFont="1" applyFill="1" applyBorder="1" applyAlignment="1" applyProtection="1">
      <alignment horizontal="center"/>
      <protection locked="0"/>
    </xf>
    <xf numFmtId="0" fontId="12" fillId="2" borderId="10" xfId="7" applyFill="1" applyBorder="1" applyAlignment="1" applyProtection="1">
      <alignment horizontal="left" wrapText="1" indent="2"/>
      <protection locked="0"/>
    </xf>
    <xf numFmtId="0" fontId="12" fillId="2" borderId="10" xfId="7" applyFill="1" applyBorder="1" applyAlignment="1" applyProtection="1">
      <alignment horizontal="left" indent="4"/>
      <protection locked="0"/>
    </xf>
    <xf numFmtId="0" fontId="12" fillId="2" borderId="10" xfId="7" applyFill="1" applyBorder="1" applyAlignment="1" applyProtection="1">
      <alignment wrapText="1"/>
      <protection locked="0"/>
    </xf>
    <xf numFmtId="37" fontId="5" fillId="2" borderId="10" xfId="3" applyNumberFormat="1" applyFont="1" applyFill="1" applyBorder="1" applyProtection="1">
      <protection locked="0"/>
    </xf>
    <xf numFmtId="0" fontId="3" fillId="0" borderId="24" xfId="0" applyFont="1" applyBorder="1" applyAlignment="1">
      <alignment vertical="center"/>
    </xf>
    <xf numFmtId="0" fontId="3" fillId="0" borderId="24" xfId="0" applyFont="1" applyBorder="1" applyAlignment="1">
      <alignment horizontal="center" vertical="center"/>
    </xf>
    <xf numFmtId="0" fontId="3" fillId="0" borderId="0" xfId="0" applyFont="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1" xfId="0" quotePrefix="1" applyFont="1" applyBorder="1" applyAlignment="1">
      <alignment horizontal="center"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0" fillId="0" borderId="24" xfId="0" applyBorder="1" applyAlignment="1">
      <alignment horizontal="left" vertical="center" indent="1"/>
    </xf>
    <xf numFmtId="173" fontId="0" fillId="0" borderId="24" xfId="0" applyNumberFormat="1" applyBorder="1" applyAlignment="1">
      <alignment vertical="center"/>
    </xf>
    <xf numFmtId="173" fontId="0" fillId="0" borderId="23" xfId="0" applyNumberFormat="1" applyBorder="1" applyAlignment="1">
      <alignment vertical="center"/>
    </xf>
    <xf numFmtId="173" fontId="0" fillId="7" borderId="16" xfId="0" applyNumberFormat="1" applyFill="1" applyBorder="1" applyAlignment="1">
      <alignment vertical="center"/>
    </xf>
    <xf numFmtId="0" fontId="0" fillId="0" borderId="21" xfId="0" applyBorder="1" applyAlignment="1">
      <alignment horizontal="left" vertical="center" indent="1"/>
    </xf>
    <xf numFmtId="172" fontId="0" fillId="0" borderId="21" xfId="0" applyNumberFormat="1" applyBorder="1" applyAlignment="1">
      <alignment vertical="center"/>
    </xf>
    <xf numFmtId="172" fontId="0" fillId="0" borderId="12" xfId="0" applyNumberFormat="1" applyBorder="1" applyAlignment="1">
      <alignment vertical="center"/>
    </xf>
    <xf numFmtId="172" fontId="0" fillId="7" borderId="0" xfId="0" applyNumberFormat="1" applyFill="1" applyAlignment="1">
      <alignment vertical="center"/>
    </xf>
    <xf numFmtId="0" fontId="0" fillId="0" borderId="20" xfId="0" applyBorder="1" applyAlignment="1">
      <alignment horizontal="left" vertical="center" indent="1"/>
    </xf>
    <xf numFmtId="0" fontId="24" fillId="0" borderId="0" xfId="0" applyFont="1" applyAlignment="1">
      <alignment vertical="center"/>
    </xf>
    <xf numFmtId="169" fontId="0" fillId="0" borderId="0" xfId="9" applyNumberFormat="1" applyFont="1"/>
    <xf numFmtId="174" fontId="5" fillId="2" borderId="1" xfId="2" applyNumberFormat="1" applyFont="1" applyFill="1" applyBorder="1" applyAlignment="1">
      <alignment wrapText="1"/>
    </xf>
    <xf numFmtId="1" fontId="0" fillId="0" borderId="0" xfId="0" applyNumberFormat="1" applyAlignment="1">
      <alignment vertical="top" wrapText="1"/>
    </xf>
    <xf numFmtId="1" fontId="0" fillId="0" borderId="0" xfId="0" applyNumberFormat="1"/>
    <xf numFmtId="166" fontId="6" fillId="2" borderId="8" xfId="2" applyNumberFormat="1" applyFont="1" applyFill="1" applyBorder="1" applyAlignment="1" applyProtection="1">
      <alignment wrapText="1"/>
      <protection hidden="1"/>
    </xf>
    <xf numFmtId="166" fontId="6" fillId="2" borderId="0" xfId="2" applyNumberFormat="1" applyFont="1" applyFill="1" applyAlignment="1" applyProtection="1">
      <alignment wrapText="1"/>
      <protection hidden="1"/>
    </xf>
    <xf numFmtId="0" fontId="25" fillId="0" borderId="0" xfId="0" applyFont="1"/>
    <xf numFmtId="0" fontId="25" fillId="8" borderId="0" xfId="0" applyFont="1" applyFill="1"/>
    <xf numFmtId="0" fontId="26" fillId="0" borderId="0" xfId="0" applyFont="1"/>
    <xf numFmtId="174" fontId="0" fillId="0" borderId="0" xfId="9" applyNumberFormat="1" applyFont="1"/>
    <xf numFmtId="174" fontId="26" fillId="0" borderId="0" xfId="9" applyNumberFormat="1" applyFont="1"/>
    <xf numFmtId="0" fontId="0" fillId="9" borderId="34" xfId="0" applyFill="1" applyBorder="1" applyAlignment="1">
      <alignment horizontal="center" wrapText="1"/>
    </xf>
    <xf numFmtId="42" fontId="0" fillId="10" borderId="11" xfId="0" applyNumberFormat="1" applyFill="1" applyBorder="1"/>
    <xf numFmtId="0" fontId="0" fillId="10" borderId="11" xfId="0" applyFill="1" applyBorder="1"/>
    <xf numFmtId="42" fontId="0" fillId="0" borderId="0" xfId="0" applyNumberFormat="1"/>
    <xf numFmtId="0" fontId="3" fillId="0" borderId="0" xfId="0" applyFont="1" applyAlignment="1">
      <alignment horizontal="right" vertical="center"/>
    </xf>
    <xf numFmtId="175" fontId="0" fillId="0" borderId="24" xfId="0" applyNumberFormat="1" applyBorder="1" applyAlignment="1">
      <alignment vertical="center"/>
    </xf>
    <xf numFmtId="171" fontId="0" fillId="7" borderId="22" xfId="8" applyNumberFormat="1" applyFont="1" applyFill="1" applyBorder="1" applyAlignment="1">
      <alignment horizontal="right" vertical="center" indent="1"/>
    </xf>
    <xf numFmtId="173" fontId="0" fillId="7" borderId="23" xfId="0" applyNumberFormat="1" applyFill="1" applyBorder="1" applyAlignment="1">
      <alignment vertical="center"/>
    </xf>
    <xf numFmtId="175" fontId="0" fillId="0" borderId="21" xfId="0" applyNumberFormat="1" applyBorder="1" applyAlignment="1">
      <alignment vertical="center"/>
    </xf>
    <xf numFmtId="171" fontId="0" fillId="7" borderId="13" xfId="8" applyNumberFormat="1" applyFont="1" applyFill="1" applyBorder="1" applyAlignment="1">
      <alignment horizontal="right" vertical="center" indent="1"/>
    </xf>
    <xf numFmtId="172" fontId="0" fillId="7" borderId="12" xfId="0" applyNumberFormat="1" applyFill="1" applyBorder="1" applyAlignment="1">
      <alignment vertical="center"/>
    </xf>
    <xf numFmtId="175" fontId="0" fillId="0" borderId="20" xfId="0" applyNumberForma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174" fontId="5" fillId="3" borderId="1" xfId="2" applyNumberFormat="1" applyFont="1" applyFill="1" applyBorder="1" applyAlignment="1" applyProtection="1">
      <alignment wrapText="1"/>
      <protection locked="0"/>
    </xf>
    <xf numFmtId="169" fontId="0" fillId="0" borderId="0" xfId="0" applyNumberFormat="1" applyAlignment="1">
      <alignment vertical="top" wrapText="1"/>
    </xf>
    <xf numFmtId="37" fontId="29" fillId="12" borderId="10" xfId="3" applyNumberFormat="1" applyFont="1" applyFill="1" applyBorder="1" applyProtection="1"/>
    <xf numFmtId="0" fontId="2" fillId="0" borderId="0" xfId="0" applyFont="1"/>
    <xf numFmtId="0" fontId="31" fillId="0" borderId="0" xfId="0" applyFont="1" applyAlignment="1">
      <alignment horizontal="left"/>
    </xf>
    <xf numFmtId="0" fontId="8" fillId="0" borderId="0" xfId="0" applyFont="1" applyAlignment="1">
      <alignment horizontal="left"/>
    </xf>
    <xf numFmtId="0" fontId="31" fillId="0" borderId="0" xfId="0" applyFont="1" applyAlignment="1">
      <alignment horizontal="left" vertical="center"/>
    </xf>
    <xf numFmtId="0" fontId="8" fillId="0" borderId="0" xfId="0" applyFont="1"/>
    <xf numFmtId="37" fontId="12" fillId="2" borderId="10" xfId="7" applyNumberFormat="1" applyFill="1" applyBorder="1" applyAlignment="1" applyProtection="1">
      <alignment horizontal="left"/>
      <protection locked="0"/>
    </xf>
    <xf numFmtId="168" fontId="5" fillId="3" borderId="0" xfId="1" applyNumberFormat="1" applyFont="1" applyFill="1" applyBorder="1" applyAlignment="1" applyProtection="1">
      <alignment horizontal="center" vertical="center"/>
      <protection locked="0"/>
    </xf>
    <xf numFmtId="167" fontId="5" fillId="3" borderId="0" xfId="2" applyNumberFormat="1" applyFont="1" applyFill="1" applyAlignment="1" applyProtection="1">
      <alignment horizontal="center" vertical="center"/>
      <protection locked="0"/>
    </xf>
    <xf numFmtId="0" fontId="1" fillId="2" borderId="1" xfId="0" applyFont="1" applyFill="1" applyBorder="1" applyAlignment="1">
      <alignment horizontal="left" wrapText="1"/>
    </xf>
    <xf numFmtId="166" fontId="5" fillId="2" borderId="0" xfId="2" applyNumberFormat="1" applyFont="1" applyFill="1" applyAlignment="1">
      <alignment wrapText="1"/>
    </xf>
    <xf numFmtId="166" fontId="5" fillId="3" borderId="0" xfId="2" applyNumberFormat="1" applyFont="1" applyFill="1" applyAlignment="1" applyProtection="1">
      <alignment horizontal="center"/>
      <protection locked="0"/>
    </xf>
    <xf numFmtId="0" fontId="40" fillId="0" borderId="0" xfId="0" applyFont="1" applyAlignment="1">
      <alignment vertical="top" wrapText="1"/>
    </xf>
    <xf numFmtId="1" fontId="40" fillId="0" borderId="0" xfId="0" applyNumberFormat="1" applyFont="1" applyAlignment="1">
      <alignment vertical="top" wrapText="1"/>
    </xf>
    <xf numFmtId="174" fontId="0" fillId="0" borderId="0" xfId="0" applyNumberFormat="1"/>
    <xf numFmtId="171" fontId="24" fillId="7" borderId="41" xfId="8" applyNumberFormat="1" applyFont="1" applyFill="1" applyBorder="1" applyAlignment="1">
      <alignment horizontal="right" vertical="center" indent="1"/>
    </xf>
    <xf numFmtId="173" fontId="24" fillId="7" borderId="42" xfId="0" applyNumberFormat="1" applyFont="1" applyFill="1" applyBorder="1" applyAlignment="1">
      <alignment vertical="center"/>
    </xf>
    <xf numFmtId="173" fontId="24" fillId="7" borderId="43" xfId="0" applyNumberFormat="1" applyFont="1" applyFill="1" applyBorder="1" applyAlignment="1">
      <alignment vertical="center"/>
    </xf>
    <xf numFmtId="173" fontId="24" fillId="0" borderId="42" xfId="0" applyNumberFormat="1" applyFont="1" applyBorder="1" applyAlignment="1">
      <alignment vertical="center"/>
    </xf>
    <xf numFmtId="173" fontId="24" fillId="0" borderId="44" xfId="0" applyNumberFormat="1" applyFont="1" applyBorder="1" applyAlignment="1">
      <alignment vertical="center"/>
    </xf>
    <xf numFmtId="175" fontId="24" fillId="0" borderId="44" xfId="0" applyNumberFormat="1" applyFont="1" applyBorder="1" applyAlignment="1">
      <alignment vertical="center"/>
    </xf>
    <xf numFmtId="0" fontId="24" fillId="0" borderId="44" xfId="0" applyFont="1" applyBorder="1" applyAlignment="1">
      <alignment horizontal="left" vertical="center" indent="1"/>
    </xf>
    <xf numFmtId="168" fontId="5" fillId="3" borderId="17" xfId="1" applyNumberFormat="1" applyFont="1" applyFill="1" applyBorder="1" applyAlignment="1" applyProtection="1">
      <alignment horizontal="center" vertical="center"/>
      <protection locked="0"/>
    </xf>
    <xf numFmtId="9" fontId="17" fillId="2" borderId="0" xfId="8" applyFont="1" applyFill="1" applyBorder="1" applyAlignment="1" applyProtection="1">
      <alignment horizontal="center" vertical="center" wrapText="1"/>
    </xf>
    <xf numFmtId="9" fontId="38" fillId="2" borderId="0" xfId="8" applyFont="1" applyFill="1" applyBorder="1" applyAlignment="1" applyProtection="1">
      <alignment horizontal="center" vertical="center" wrapText="1"/>
    </xf>
    <xf numFmtId="9" fontId="37" fillId="2" borderId="0" xfId="8" applyFont="1" applyFill="1" applyBorder="1" applyAlignment="1" applyProtection="1">
      <alignment horizontal="center" vertical="center" wrapText="1"/>
    </xf>
    <xf numFmtId="167" fontId="5" fillId="3" borderId="8" xfId="2" applyNumberFormat="1" applyFont="1" applyFill="1" applyBorder="1" applyAlignment="1" applyProtection="1">
      <alignment horizontal="center" vertical="center"/>
      <protection locked="0"/>
    </xf>
    <xf numFmtId="37" fontId="29" fillId="12" borderId="0" xfId="3" applyNumberFormat="1" applyFont="1" applyFill="1" applyBorder="1" applyProtection="1"/>
    <xf numFmtId="166" fontId="28" fillId="12" borderId="50" xfId="2" applyNumberFormat="1" applyFont="1" applyFill="1" applyBorder="1" applyAlignment="1" applyProtection="1">
      <alignment wrapText="1"/>
      <protection hidden="1"/>
    </xf>
    <xf numFmtId="0" fontId="40" fillId="15" borderId="0" xfId="0" applyFont="1" applyFill="1" applyAlignment="1">
      <alignment vertical="top" wrapText="1"/>
    </xf>
    <xf numFmtId="169" fontId="0" fillId="15" borderId="0" xfId="0" applyNumberFormat="1" applyFill="1"/>
    <xf numFmtId="3" fontId="0" fillId="0" borderId="0" xfId="0" applyNumberFormat="1" applyAlignment="1">
      <alignment wrapText="1"/>
    </xf>
    <xf numFmtId="0" fontId="0" fillId="0" borderId="0" xfId="0" applyAlignment="1">
      <alignment horizontal="right" wrapText="1"/>
    </xf>
    <xf numFmtId="0" fontId="42" fillId="0" borderId="0" xfId="0" applyFont="1" applyAlignment="1">
      <alignment vertical="top" wrapText="1"/>
    </xf>
    <xf numFmtId="37" fontId="41" fillId="5" borderId="47" xfId="3" applyNumberFormat="1" applyFont="1" applyFill="1" applyBorder="1" applyAlignment="1" applyProtection="1">
      <alignment horizontal="left" vertical="center" wrapText="1"/>
    </xf>
    <xf numFmtId="37" fontId="36" fillId="5" borderId="47" xfId="3" applyNumberFormat="1" applyFont="1" applyFill="1" applyBorder="1" applyAlignment="1" applyProtection="1">
      <alignment horizontal="left" vertical="center" wrapText="1"/>
    </xf>
    <xf numFmtId="37" fontId="36" fillId="5" borderId="48" xfId="3" applyNumberFormat="1" applyFont="1" applyFill="1" applyBorder="1" applyAlignment="1" applyProtection="1">
      <alignment horizontal="left" vertical="center" wrapText="1"/>
    </xf>
    <xf numFmtId="0" fontId="8" fillId="3" borderId="40"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1" xfId="0" applyFont="1" applyFill="1" applyBorder="1" applyAlignment="1" applyProtection="1">
      <alignment horizontal="left" vertical="top" wrapText="1"/>
      <protection locked="0"/>
    </xf>
    <xf numFmtId="37" fontId="5" fillId="2" borderId="0" xfId="4" applyNumberFormat="1" applyFont="1" applyFill="1" applyAlignment="1">
      <alignment horizontal="left" vertical="top" wrapText="1"/>
    </xf>
    <xf numFmtId="37" fontId="5" fillId="2" borderId="15" xfId="4" applyNumberFormat="1" applyFont="1" applyFill="1" applyBorder="1" applyAlignment="1">
      <alignment horizontal="left" vertical="top" wrapText="1"/>
    </xf>
    <xf numFmtId="37" fontId="5" fillId="0" borderId="31" xfId="2" applyNumberFormat="1" applyFont="1" applyBorder="1" applyAlignment="1">
      <alignment horizontal="left" vertical="top" wrapText="1"/>
    </xf>
    <xf numFmtId="37" fontId="5" fillId="0" borderId="33" xfId="2" applyNumberFormat="1" applyFont="1" applyBorder="1" applyAlignment="1">
      <alignment horizontal="left" vertical="top" wrapText="1"/>
    </xf>
    <xf numFmtId="37" fontId="5" fillId="0" borderId="32" xfId="2" applyNumberFormat="1" applyFont="1" applyBorder="1" applyAlignment="1">
      <alignment horizontal="left" vertical="top" wrapText="1"/>
    </xf>
    <xf numFmtId="0" fontId="35" fillId="0" borderId="31" xfId="0" applyFont="1" applyBorder="1" applyAlignment="1">
      <alignment horizontal="center" wrapText="1"/>
    </xf>
    <xf numFmtId="0" fontId="35" fillId="0" borderId="33" xfId="0" applyFont="1" applyBorder="1" applyAlignment="1">
      <alignment horizontal="center"/>
    </xf>
    <xf numFmtId="0" fontId="35" fillId="0" borderId="32" xfId="0" applyFont="1" applyBorder="1" applyAlignment="1">
      <alignment horizontal="center"/>
    </xf>
    <xf numFmtId="0" fontId="32" fillId="11" borderId="8" xfId="0" applyFont="1" applyFill="1" applyBorder="1" applyAlignment="1">
      <alignment horizontal="left" vertical="center"/>
    </xf>
    <xf numFmtId="0" fontId="29" fillId="13" borderId="0" xfId="0" applyFont="1" applyFill="1" applyAlignment="1">
      <alignment horizontal="left" vertical="top" wrapText="1"/>
    </xf>
    <xf numFmtId="0" fontId="33" fillId="11" borderId="0" xfId="0" applyFont="1" applyFill="1" applyAlignment="1">
      <alignment horizontal="center" wrapText="1"/>
    </xf>
    <xf numFmtId="0" fontId="29" fillId="13" borderId="37" xfId="0" applyFont="1" applyFill="1" applyBorder="1" applyAlignment="1">
      <alignment horizontal="left" vertical="center" wrapText="1"/>
    </xf>
    <xf numFmtId="37" fontId="16" fillId="0" borderId="0" xfId="2" applyNumberFormat="1" applyFont="1" applyAlignment="1">
      <alignment horizontal="left" vertical="top" wrapText="1"/>
    </xf>
    <xf numFmtId="37" fontId="5" fillId="0" borderId="0" xfId="2" applyNumberFormat="1" applyFont="1" applyAlignment="1">
      <alignment horizontal="center"/>
    </xf>
    <xf numFmtId="37" fontId="6" fillId="2" borderId="0" xfId="4" applyNumberFormat="1" applyFont="1" applyFill="1" applyAlignment="1">
      <alignment horizontal="left" vertical="top"/>
    </xf>
    <xf numFmtId="37" fontId="6" fillId="3" borderId="7" xfId="4" applyNumberFormat="1" applyFont="1" applyFill="1" applyBorder="1" applyProtection="1">
      <protection locked="0"/>
    </xf>
    <xf numFmtId="37" fontId="6" fillId="3" borderId="8" xfId="4" applyNumberFormat="1" applyFont="1" applyFill="1" applyBorder="1" applyProtection="1">
      <protection locked="0"/>
    </xf>
    <xf numFmtId="37" fontId="6" fillId="3" borderId="9" xfId="4" applyNumberFormat="1" applyFont="1" applyFill="1" applyBorder="1" applyProtection="1">
      <protection locked="0"/>
    </xf>
    <xf numFmtId="37" fontId="6" fillId="2" borderId="0" xfId="4" applyNumberFormat="1" applyFont="1" applyFill="1" applyAlignment="1">
      <alignment horizontal="left" vertical="top" wrapText="1"/>
    </xf>
    <xf numFmtId="0" fontId="0" fillId="3" borderId="7" xfId="0" applyFill="1" applyBorder="1" applyAlignment="1" applyProtection="1">
      <alignment horizontal="left" vertical="top" wrapText="1" indent="1"/>
      <protection locked="0"/>
    </xf>
    <xf numFmtId="0" fontId="0" fillId="3" borderId="8" xfId="0"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37" fontId="6" fillId="2" borderId="37" xfId="4" applyNumberFormat="1" applyFont="1" applyFill="1" applyBorder="1" applyAlignment="1">
      <alignment horizontal="center" vertical="top"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22" fillId="2" borderId="1" xfId="0" applyFont="1" applyFill="1" applyBorder="1" applyAlignment="1">
      <alignment wrapText="1"/>
    </xf>
    <xf numFmtId="37" fontId="6" fillId="4" borderId="18" xfId="4" applyNumberFormat="1" applyFont="1" applyFill="1" applyBorder="1" applyAlignment="1">
      <alignment horizontal="left" vertical="top" wrapText="1"/>
    </xf>
    <xf numFmtId="37" fontId="6" fillId="4" borderId="19" xfId="4" applyNumberFormat="1" applyFont="1" applyFill="1" applyBorder="1" applyAlignment="1">
      <alignment horizontal="left" vertical="top" wrapText="1"/>
    </xf>
    <xf numFmtId="37" fontId="5" fillId="0" borderId="0" xfId="2" applyNumberFormat="1" applyFont="1" applyAlignment="1">
      <alignment horizontal="left" vertical="top" wrapText="1"/>
    </xf>
    <xf numFmtId="0" fontId="12" fillId="2" borderId="0" xfId="7" applyFill="1" applyBorder="1" applyAlignment="1" applyProtection="1">
      <alignment horizontal="left" wrapText="1" indent="4"/>
      <protection locked="0"/>
    </xf>
    <xf numFmtId="0" fontId="13" fillId="3" borderId="6"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3" borderId="26" xfId="0" applyFont="1" applyFill="1" applyBorder="1" applyAlignment="1" applyProtection="1">
      <alignment horizontal="left" vertical="top" wrapText="1"/>
      <protection locked="0"/>
    </xf>
    <xf numFmtId="0" fontId="13" fillId="3" borderId="27" xfId="0" applyFont="1" applyFill="1" applyBorder="1" applyAlignment="1" applyProtection="1">
      <alignment horizontal="left" vertical="top" wrapText="1"/>
      <protection locked="0"/>
    </xf>
    <xf numFmtId="0" fontId="0" fillId="2" borderId="2" xfId="0" applyFill="1" applyBorder="1" applyAlignment="1">
      <alignment horizontal="left" wrapText="1"/>
    </xf>
    <xf numFmtId="0" fontId="1" fillId="2" borderId="2" xfId="0" applyFont="1" applyFill="1" applyBorder="1" applyAlignment="1">
      <alignment horizontal="left" wrapText="1"/>
    </xf>
    <xf numFmtId="37" fontId="12" fillId="2" borderId="10" xfId="7" applyNumberFormat="1" applyFill="1" applyBorder="1" applyAlignment="1" applyProtection="1">
      <alignment horizontal="left"/>
      <protection locked="0"/>
    </xf>
    <xf numFmtId="37" fontId="19" fillId="5" borderId="0" xfId="3" applyNumberFormat="1" applyFont="1" applyFill="1" applyAlignment="1" applyProtection="1">
      <alignment horizontal="center" vertical="center"/>
    </xf>
    <xf numFmtId="37" fontId="5" fillId="2" borderId="0" xfId="4" applyNumberFormat="1" applyFont="1" applyFill="1" applyAlignment="1">
      <alignment horizontal="left" vertical="top" wrapText="1" indent="1"/>
    </xf>
    <xf numFmtId="37" fontId="5" fillId="3" borderId="0" xfId="2" applyNumberFormat="1" applyFont="1" applyFill="1" applyAlignment="1">
      <alignment horizontal="left" vertical="top" wrapText="1"/>
    </xf>
    <xf numFmtId="0" fontId="27" fillId="0" borderId="0" xfId="0" applyFont="1" applyAlignment="1">
      <alignment horizontal="center" vertical="center"/>
    </xf>
    <xf numFmtId="0" fontId="23" fillId="11" borderId="7" xfId="0" applyFont="1" applyFill="1" applyBorder="1" applyAlignment="1">
      <alignment horizontal="center" vertical="center"/>
    </xf>
    <xf numFmtId="0" fontId="23" fillId="11" borderId="8" xfId="0" applyFont="1" applyFill="1" applyBorder="1" applyAlignment="1">
      <alignment horizontal="center" vertical="center"/>
    </xf>
    <xf numFmtId="0" fontId="23" fillId="11" borderId="9"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3" fillId="0" borderId="0" xfId="0" applyFont="1" applyAlignment="1">
      <alignment horizontal="right" vertical="center"/>
    </xf>
    <xf numFmtId="42" fontId="28" fillId="12" borderId="50" xfId="2" applyNumberFormat="1" applyFont="1" applyFill="1" applyBorder="1" applyAlignment="1" applyProtection="1">
      <alignment horizontal="right" wrapText="1"/>
      <protection hidden="1"/>
    </xf>
    <xf numFmtId="37" fontId="5" fillId="5" borderId="46" xfId="2" applyNumberFormat="1" applyFont="1" applyFill="1" applyBorder="1" applyProtection="1"/>
    <xf numFmtId="37" fontId="5" fillId="5" borderId="47" xfId="2" applyNumberFormat="1" applyFont="1" applyFill="1" applyBorder="1" applyProtection="1"/>
    <xf numFmtId="0" fontId="0" fillId="0" borderId="0" xfId="0" applyAlignment="1" applyProtection="1">
      <alignment vertical="center" wrapText="1"/>
    </xf>
    <xf numFmtId="37" fontId="5" fillId="0" borderId="0" xfId="2" applyNumberFormat="1" applyFont="1" applyAlignment="1" applyProtection="1">
      <alignment horizontal="left" vertical="center" wrapText="1"/>
    </xf>
    <xf numFmtId="37" fontId="5" fillId="0" borderId="0" xfId="2" applyNumberFormat="1" applyFont="1" applyProtection="1"/>
    <xf numFmtId="37" fontId="6" fillId="2" borderId="49" xfId="4" applyNumberFormat="1" applyFont="1" applyFill="1" applyBorder="1" applyAlignment="1" applyProtection="1">
      <alignment vertical="top"/>
    </xf>
    <xf numFmtId="37" fontId="5" fillId="2" borderId="0" xfId="4" applyNumberFormat="1" applyFont="1" applyFill="1" applyAlignment="1" applyProtection="1">
      <alignment horizontal="left" vertical="top" wrapText="1"/>
    </xf>
    <xf numFmtId="37" fontId="5" fillId="2" borderId="15" xfId="4" applyNumberFormat="1" applyFont="1" applyFill="1" applyBorder="1" applyAlignment="1" applyProtection="1">
      <alignment horizontal="left" vertical="top" wrapText="1"/>
    </xf>
    <xf numFmtId="168" fontId="5" fillId="3" borderId="17" xfId="1" applyNumberFormat="1" applyFont="1" applyFill="1" applyBorder="1" applyAlignment="1" applyProtection="1">
      <alignment horizontal="center" vertical="center"/>
    </xf>
    <xf numFmtId="37" fontId="5" fillId="2" borderId="11" xfId="2" applyNumberFormat="1" applyFont="1" applyFill="1" applyBorder="1" applyAlignment="1" applyProtection="1">
      <alignment horizontal="center" vertical="center" wrapText="1"/>
    </xf>
    <xf numFmtId="37" fontId="5" fillId="2" borderId="0" xfId="2" applyNumberFormat="1" applyFont="1" applyFill="1" applyAlignment="1" applyProtection="1">
      <alignment vertical="center" wrapText="1"/>
    </xf>
    <xf numFmtId="37" fontId="5" fillId="2" borderId="50" xfId="2" applyNumberFormat="1" applyFont="1" applyFill="1" applyBorder="1" applyProtection="1"/>
    <xf numFmtId="37" fontId="24" fillId="2" borderId="0" xfId="4" applyNumberFormat="1" applyFont="1" applyFill="1" applyAlignment="1" applyProtection="1">
      <alignment horizontal="left" vertical="top" wrapText="1"/>
    </xf>
    <xf numFmtId="37" fontId="5" fillId="2" borderId="0" xfId="4" applyNumberFormat="1" applyFont="1" applyFill="1" applyAlignment="1" applyProtection="1">
      <alignment horizontal="left" vertical="top" wrapText="1"/>
    </xf>
    <xf numFmtId="37" fontId="39" fillId="2" borderId="8" xfId="2" applyNumberFormat="1" applyFont="1" applyFill="1" applyBorder="1" applyAlignment="1" applyProtection="1">
      <alignment horizontal="center" vertical="center" wrapText="1"/>
    </xf>
    <xf numFmtId="37" fontId="38" fillId="2" borderId="0" xfId="2" applyNumberFormat="1" applyFont="1" applyFill="1" applyAlignment="1" applyProtection="1">
      <alignment horizontal="center" vertical="center" wrapText="1"/>
    </xf>
    <xf numFmtId="37" fontId="6" fillId="2" borderId="49" xfId="4" applyNumberFormat="1" applyFont="1" applyFill="1" applyBorder="1" applyAlignment="1" applyProtection="1">
      <alignment horizontal="left" vertical="top"/>
    </xf>
    <xf numFmtId="37" fontId="1" fillId="2" borderId="0" xfId="4" applyNumberFormat="1" applyFont="1" applyFill="1" applyAlignment="1" applyProtection="1">
      <alignment horizontal="left" vertical="top" wrapText="1"/>
    </xf>
    <xf numFmtId="37" fontId="1" fillId="2" borderId="50" xfId="4" applyNumberFormat="1" applyFont="1" applyFill="1" applyBorder="1" applyAlignment="1" applyProtection="1">
      <alignment horizontal="left" vertical="top" wrapText="1"/>
    </xf>
    <xf numFmtId="167" fontId="5" fillId="3" borderId="0" xfId="2" applyNumberFormat="1" applyFont="1" applyFill="1" applyAlignment="1" applyProtection="1">
      <alignment horizontal="center" vertical="center"/>
    </xf>
    <xf numFmtId="37" fontId="37" fillId="2" borderId="12" xfId="2" applyNumberFormat="1" applyFont="1" applyFill="1" applyBorder="1" applyAlignment="1" applyProtection="1">
      <alignment horizontal="center" vertical="center" wrapText="1"/>
    </xf>
    <xf numFmtId="37" fontId="5" fillId="2" borderId="0" xfId="2" applyNumberFormat="1" applyFont="1" applyFill="1" applyProtection="1"/>
    <xf numFmtId="37" fontId="26" fillId="2" borderId="0" xfId="4" applyNumberFormat="1" applyFont="1" applyFill="1" applyAlignment="1" applyProtection="1">
      <alignment horizontal="left" vertical="top" wrapText="1"/>
    </xf>
    <xf numFmtId="37" fontId="5" fillId="2" borderId="50" xfId="4" applyNumberFormat="1" applyFont="1" applyFill="1" applyBorder="1" applyAlignment="1" applyProtection="1">
      <alignment horizontal="left" vertical="top" wrapText="1"/>
    </xf>
    <xf numFmtId="167" fontId="5" fillId="3" borderId="8" xfId="2" applyNumberFormat="1" applyFont="1" applyFill="1" applyBorder="1" applyAlignment="1" applyProtection="1">
      <alignment horizontal="center" vertical="center"/>
    </xf>
    <xf numFmtId="37" fontId="6" fillId="2" borderId="0" xfId="4" applyNumberFormat="1" applyFont="1" applyFill="1" applyAlignment="1" applyProtection="1">
      <alignment horizontal="left" vertical="top"/>
    </xf>
    <xf numFmtId="37" fontId="5" fillId="2" borderId="0" xfId="2" applyNumberFormat="1" applyFont="1" applyFill="1" applyAlignment="1" applyProtection="1">
      <alignment horizontal="center"/>
    </xf>
    <xf numFmtId="37" fontId="5" fillId="2" borderId="37" xfId="2" applyNumberFormat="1" applyFont="1" applyFill="1" applyBorder="1" applyAlignment="1" applyProtection="1">
      <alignment horizontal="center" vertical="center"/>
    </xf>
    <xf numFmtId="37" fontId="5" fillId="2" borderId="37" xfId="2" applyNumberFormat="1" applyFont="1" applyFill="1" applyBorder="1" applyProtection="1"/>
    <xf numFmtId="37" fontId="5" fillId="2" borderId="51" xfId="2" applyNumberFormat="1" applyFont="1" applyFill="1" applyBorder="1" applyProtection="1"/>
    <xf numFmtId="166" fontId="28" fillId="4" borderId="52" xfId="2" applyNumberFormat="1" applyFont="1" applyFill="1" applyBorder="1" applyProtection="1"/>
    <xf numFmtId="166" fontId="28" fillId="4" borderId="8" xfId="2" applyNumberFormat="1" applyFont="1" applyFill="1" applyBorder="1" applyProtection="1"/>
    <xf numFmtId="166" fontId="28" fillId="4" borderId="53" xfId="2" applyNumberFormat="1" applyFont="1" applyFill="1" applyBorder="1" applyProtection="1"/>
    <xf numFmtId="0" fontId="0" fillId="0" borderId="0" xfId="0" applyAlignment="1" applyProtection="1">
      <alignment vertical="center"/>
    </xf>
    <xf numFmtId="0" fontId="8" fillId="12" borderId="54" xfId="0" applyFont="1" applyFill="1" applyBorder="1" applyAlignment="1" applyProtection="1">
      <alignment horizontal="left" vertical="top" wrapText="1"/>
    </xf>
    <xf numFmtId="0" fontId="8" fillId="12" borderId="20" xfId="0" applyFont="1" applyFill="1" applyBorder="1" applyAlignment="1" applyProtection="1">
      <alignment horizontal="left" vertical="top" wrapText="1"/>
    </xf>
    <xf numFmtId="0" fontId="8" fillId="3" borderId="40" xfId="0" applyFont="1" applyFill="1" applyBorder="1" applyAlignment="1" applyProtection="1">
      <alignment horizontal="left" vertical="top" wrapText="1"/>
    </xf>
    <xf numFmtId="0" fontId="8" fillId="3" borderId="37" xfId="0" applyFont="1" applyFill="1" applyBorder="1" applyAlignment="1" applyProtection="1">
      <alignment horizontal="left" vertical="top" wrapText="1"/>
    </xf>
    <xf numFmtId="0" fontId="8" fillId="3" borderId="51" xfId="0" applyFont="1" applyFill="1" applyBorder="1" applyAlignment="1" applyProtection="1">
      <alignment horizontal="left" vertical="top" wrapText="1"/>
    </xf>
    <xf numFmtId="37" fontId="5" fillId="0" borderId="0" xfId="2" applyNumberFormat="1" applyFont="1" applyAlignment="1" applyProtection="1">
      <alignment wrapText="1"/>
    </xf>
    <xf numFmtId="0" fontId="8" fillId="12" borderId="55" xfId="0" applyFont="1" applyFill="1" applyBorder="1" applyAlignment="1" applyProtection="1">
      <alignment horizontal="left" vertical="top" wrapText="1"/>
    </xf>
    <xf numFmtId="0" fontId="8" fillId="12" borderId="11" xfId="0" applyFont="1" applyFill="1" applyBorder="1" applyAlignment="1" applyProtection="1">
      <alignment horizontal="left" vertical="top" wrapText="1"/>
    </xf>
    <xf numFmtId="37" fontId="5" fillId="0" borderId="0" xfId="2" applyNumberFormat="1" applyFont="1" applyAlignment="1" applyProtection="1">
      <alignment vertical="center"/>
    </xf>
    <xf numFmtId="0" fontId="8" fillId="12" borderId="57" xfId="0" applyFont="1" applyFill="1" applyBorder="1" applyAlignment="1" applyProtection="1">
      <alignment horizontal="left" vertical="top" wrapText="1"/>
    </xf>
    <xf numFmtId="0" fontId="8" fillId="12" borderId="38" xfId="0" applyFont="1" applyFill="1" applyBorder="1" applyAlignment="1" applyProtection="1">
      <alignment horizontal="left" vertical="top" wrapText="1"/>
    </xf>
    <xf numFmtId="0" fontId="8" fillId="12" borderId="58" xfId="0" applyFont="1" applyFill="1" applyBorder="1" applyAlignment="1" applyProtection="1">
      <alignment horizontal="left" vertical="top" wrapText="1"/>
    </xf>
    <xf numFmtId="0" fontId="8" fillId="12" borderId="39" xfId="0" applyFont="1" applyFill="1" applyBorder="1" applyAlignment="1" applyProtection="1">
      <alignment horizontal="left" vertical="top" wrapText="1"/>
    </xf>
    <xf numFmtId="166" fontId="28" fillId="4" borderId="59" xfId="2" applyNumberFormat="1" applyFont="1" applyFill="1" applyBorder="1" applyProtection="1"/>
    <xf numFmtId="166" fontId="28" fillId="4" borderId="37" xfId="2" applyNumberFormat="1" applyFont="1" applyFill="1" applyBorder="1" applyProtection="1"/>
    <xf numFmtId="166" fontId="28" fillId="4" borderId="51" xfId="2" applyNumberFormat="1" applyFont="1" applyFill="1" applyBorder="1" applyProtection="1"/>
    <xf numFmtId="37" fontId="24" fillId="12" borderId="49" xfId="4" applyNumberFormat="1" applyFont="1" applyFill="1" applyBorder="1" applyAlignment="1" applyProtection="1">
      <alignment horizontal="left" vertical="top" wrapText="1"/>
    </xf>
    <xf numFmtId="37" fontId="28" fillId="12" borderId="0" xfId="4" applyNumberFormat="1" applyFont="1" applyFill="1" applyAlignment="1" applyProtection="1">
      <alignment horizontal="left" vertical="top" wrapText="1"/>
    </xf>
    <xf numFmtId="166" fontId="28" fillId="12" borderId="0" xfId="2" applyNumberFormat="1" applyFont="1" applyFill="1" applyProtection="1"/>
    <xf numFmtId="166" fontId="28" fillId="12" borderId="50" xfId="2" applyNumberFormat="1" applyFont="1" applyFill="1" applyBorder="1" applyProtection="1"/>
    <xf numFmtId="37" fontId="5" fillId="0" borderId="0" xfId="2" applyNumberFormat="1" applyFont="1" applyAlignment="1" applyProtection="1">
      <alignment horizontal="left" vertical="top" wrapText="1"/>
    </xf>
    <xf numFmtId="0" fontId="0" fillId="0" borderId="0" xfId="0" applyAlignment="1" applyProtection="1">
      <alignment horizontal="left" vertical="center" indent="5"/>
    </xf>
    <xf numFmtId="0" fontId="1" fillId="0" borderId="0" xfId="0" applyFont="1" applyAlignment="1" applyProtection="1">
      <alignment wrapText="1"/>
    </xf>
    <xf numFmtId="37" fontId="28" fillId="12" borderId="49" xfId="4" applyNumberFormat="1" applyFont="1" applyFill="1" applyBorder="1" applyProtection="1"/>
    <xf numFmtId="0" fontId="29" fillId="12" borderId="0" xfId="0" applyFont="1" applyFill="1" applyAlignment="1" applyProtection="1">
      <alignment wrapText="1"/>
    </xf>
    <xf numFmtId="174" fontId="24" fillId="12" borderId="0" xfId="9" applyNumberFormat="1" applyFont="1" applyFill="1" applyBorder="1" applyAlignment="1" applyProtection="1">
      <alignment wrapText="1"/>
    </xf>
    <xf numFmtId="166" fontId="28" fillId="12" borderId="50" xfId="2" applyNumberFormat="1" applyFont="1" applyFill="1" applyBorder="1" applyAlignment="1" applyProtection="1">
      <alignment horizontal="center" wrapText="1"/>
    </xf>
    <xf numFmtId="166" fontId="28" fillId="4" borderId="60" xfId="2" applyNumberFormat="1" applyFont="1" applyFill="1" applyBorder="1" applyProtection="1"/>
    <xf numFmtId="166" fontId="28" fillId="4" borderId="16" xfId="2" applyNumberFormat="1" applyFont="1" applyFill="1" applyBorder="1" applyProtection="1"/>
    <xf numFmtId="166" fontId="28" fillId="4" borderId="61" xfId="2" applyNumberFormat="1" applyFont="1" applyFill="1" applyBorder="1" applyProtection="1"/>
    <xf numFmtId="37" fontId="28" fillId="4" borderId="62" xfId="4" applyNumberFormat="1" applyFont="1" applyFill="1" applyBorder="1" applyAlignment="1" applyProtection="1">
      <alignment horizontal="left" vertical="top" wrapText="1"/>
    </xf>
    <xf numFmtId="37" fontId="28" fillId="4" borderId="18" xfId="4" applyNumberFormat="1" applyFont="1" applyFill="1" applyBorder="1" applyAlignment="1" applyProtection="1">
      <alignment horizontal="left" vertical="top" wrapText="1"/>
    </xf>
    <xf numFmtId="37" fontId="28" fillId="4" borderId="19" xfId="4" applyNumberFormat="1" applyFont="1" applyFill="1" applyBorder="1" applyAlignment="1" applyProtection="1">
      <alignment horizontal="left" vertical="top" wrapText="1"/>
    </xf>
    <xf numFmtId="37" fontId="29" fillId="4" borderId="3" xfId="2" applyNumberFormat="1" applyFont="1" applyFill="1" applyBorder="1" applyAlignment="1" applyProtection="1">
      <alignment horizontal="center" vertical="top" wrapText="1"/>
    </xf>
    <xf numFmtId="37" fontId="29" fillId="4" borderId="56" xfId="2" applyNumberFormat="1" applyFont="1" applyFill="1" applyBorder="1" applyAlignment="1" applyProtection="1">
      <alignment horizontal="center" vertical="top" wrapText="1"/>
    </xf>
    <xf numFmtId="0" fontId="24" fillId="12" borderId="0" xfId="0" applyFont="1" applyFill="1" applyAlignment="1" applyProtection="1">
      <alignment horizontal="left" vertical="top" wrapText="1"/>
    </xf>
    <xf numFmtId="0" fontId="8" fillId="12" borderId="50" xfId="0" applyFont="1" applyFill="1" applyBorder="1" applyAlignment="1" applyProtection="1">
      <alignment wrapText="1"/>
    </xf>
    <xf numFmtId="0" fontId="0" fillId="0" borderId="0" xfId="0" applyAlignment="1" applyProtection="1">
      <alignment horizontal="left" vertical="center" indent="1"/>
    </xf>
    <xf numFmtId="0" fontId="30" fillId="12" borderId="10" xfId="7" applyFont="1" applyFill="1" applyBorder="1" applyAlignment="1" applyProtection="1">
      <alignment horizontal="left" wrapText="1"/>
    </xf>
    <xf numFmtId="174" fontId="29" fillId="12" borderId="1" xfId="2" applyNumberFormat="1" applyFont="1" applyFill="1" applyBorder="1" applyAlignment="1" applyProtection="1">
      <alignment wrapText="1"/>
    </xf>
    <xf numFmtId="174" fontId="29" fillId="12" borderId="10" xfId="2" applyNumberFormat="1" applyFont="1" applyFill="1" applyBorder="1" applyAlignment="1" applyProtection="1">
      <alignment wrapText="1"/>
    </xf>
    <xf numFmtId="174" fontId="29" fillId="12" borderId="63" xfId="2" applyNumberFormat="1" applyFont="1" applyFill="1" applyBorder="1" applyAlignment="1" applyProtection="1">
      <alignment wrapText="1"/>
    </xf>
    <xf numFmtId="37" fontId="5" fillId="0" borderId="0" xfId="2" applyNumberFormat="1" applyFont="1" applyAlignment="1" applyProtection="1">
      <alignment vertical="top" wrapText="1"/>
    </xf>
    <xf numFmtId="0" fontId="8" fillId="12" borderId="1" xfId="0" applyFont="1" applyFill="1" applyBorder="1" applyAlignment="1" applyProtection="1">
      <alignment horizontal="left" wrapText="1" indent="4"/>
    </xf>
    <xf numFmtId="166" fontId="29" fillId="12" borderId="64" xfId="2" applyNumberFormat="1" applyFont="1" applyFill="1" applyBorder="1" applyProtection="1"/>
    <xf numFmtId="0" fontId="30" fillId="12" borderId="0" xfId="7" applyFont="1" applyFill="1" applyBorder="1" applyAlignment="1" applyProtection="1">
      <alignment horizontal="left" wrapText="1" indent="4"/>
    </xf>
    <xf numFmtId="166" fontId="29" fillId="12" borderId="1" xfId="2" applyNumberFormat="1" applyFont="1" applyFill="1" applyBorder="1" applyAlignment="1" applyProtection="1">
      <alignment wrapText="1"/>
    </xf>
    <xf numFmtId="0" fontId="30" fillId="12" borderId="10" xfId="7" applyFont="1" applyFill="1" applyBorder="1" applyAlignment="1" applyProtection="1">
      <alignment horizontal="left" indent="4"/>
    </xf>
    <xf numFmtId="0" fontId="30" fillId="12" borderId="10" xfId="7" applyFont="1" applyFill="1" applyBorder="1" applyAlignment="1" applyProtection="1">
      <alignment wrapText="1"/>
    </xf>
    <xf numFmtId="174" fontId="29" fillId="12" borderId="64" xfId="2" applyNumberFormat="1" applyFont="1" applyFill="1" applyBorder="1" applyAlignment="1" applyProtection="1">
      <alignment wrapText="1"/>
    </xf>
    <xf numFmtId="0" fontId="8" fillId="12" borderId="1" xfId="0" applyFont="1" applyFill="1" applyBorder="1" applyAlignment="1" applyProtection="1">
      <alignment horizontal="left" wrapText="1"/>
    </xf>
    <xf numFmtId="174" fontId="29" fillId="12" borderId="0" xfId="2" applyNumberFormat="1" applyFont="1" applyFill="1" applyAlignment="1" applyProtection="1">
      <alignment wrapText="1"/>
    </xf>
    <xf numFmtId="174" fontId="29" fillId="12" borderId="50" xfId="2" applyNumberFormat="1" applyFont="1" applyFill="1" applyBorder="1" applyAlignment="1" applyProtection="1">
      <alignment wrapText="1"/>
    </xf>
    <xf numFmtId="37" fontId="28" fillId="12" borderId="1" xfId="2" applyNumberFormat="1" applyFont="1" applyFill="1" applyBorder="1" applyAlignment="1" applyProtection="1">
      <alignment wrapText="1"/>
    </xf>
    <xf numFmtId="166" fontId="28" fillId="12" borderId="8" xfId="2" applyNumberFormat="1" applyFont="1" applyFill="1" applyBorder="1" applyProtection="1"/>
    <xf numFmtId="174" fontId="28" fillId="3" borderId="45" xfId="2" applyNumberFormat="1" applyFont="1" applyFill="1" applyBorder="1" applyAlignment="1" applyProtection="1">
      <alignment wrapText="1"/>
    </xf>
    <xf numFmtId="166" fontId="28" fillId="3" borderId="45" xfId="2" applyNumberFormat="1" applyFont="1" applyFill="1" applyBorder="1" applyProtection="1"/>
    <xf numFmtId="37" fontId="2" fillId="0" borderId="0" xfId="2" applyNumberFormat="1" applyFont="1" applyProtection="1"/>
    <xf numFmtId="166" fontId="28" fillId="4" borderId="49" xfId="2" applyNumberFormat="1" applyFont="1" applyFill="1" applyBorder="1" applyProtection="1"/>
    <xf numFmtId="166" fontId="28" fillId="4" borderId="0" xfId="2" applyNumberFormat="1" applyFont="1" applyFill="1" applyProtection="1"/>
    <xf numFmtId="166" fontId="28" fillId="4" borderId="50" xfId="2" applyNumberFormat="1" applyFont="1" applyFill="1" applyBorder="1" applyProtection="1"/>
    <xf numFmtId="37" fontId="28" fillId="12" borderId="68" xfId="4" applyNumberFormat="1" applyFont="1" applyFill="1" applyBorder="1" applyAlignment="1" applyProtection="1">
      <alignment horizontal="left" vertical="top" wrapText="1"/>
    </xf>
    <xf numFmtId="37" fontId="28" fillId="12" borderId="69" xfId="4" applyNumberFormat="1" applyFont="1" applyFill="1" applyBorder="1" applyAlignment="1" applyProtection="1">
      <alignment horizontal="left" vertical="top" wrapText="1"/>
    </xf>
    <xf numFmtId="166" fontId="8" fillId="12" borderId="0" xfId="0" applyNumberFormat="1" applyFont="1" applyFill="1" applyAlignment="1" applyProtection="1">
      <alignment horizontal="center" vertical="top" wrapText="1"/>
    </xf>
    <xf numFmtId="166" fontId="8" fillId="12" borderId="50" xfId="0" applyNumberFormat="1" applyFont="1" applyFill="1" applyBorder="1" applyAlignment="1" applyProtection="1">
      <alignment horizontal="center" vertical="top" wrapText="1"/>
    </xf>
    <xf numFmtId="37" fontId="29" fillId="12" borderId="49" xfId="2" applyNumberFormat="1" applyFont="1" applyFill="1" applyBorder="1" applyProtection="1"/>
    <xf numFmtId="0" fontId="8" fillId="12" borderId="0" xfId="0" applyFont="1" applyFill="1" applyAlignment="1" applyProtection="1">
      <alignment horizontal="left" wrapText="1"/>
    </xf>
    <xf numFmtId="166" fontId="28" fillId="12" borderId="0" xfId="2" applyNumberFormat="1" applyFont="1" applyFill="1" applyAlignment="1" applyProtection="1">
      <alignment wrapText="1"/>
    </xf>
    <xf numFmtId="166" fontId="28" fillId="3" borderId="45" xfId="2" applyNumberFormat="1" applyFont="1" applyFill="1" applyBorder="1" applyAlignment="1" applyProtection="1">
      <alignment wrapText="1"/>
    </xf>
    <xf numFmtId="37" fontId="28" fillId="4" borderId="49" xfId="4" applyNumberFormat="1" applyFont="1" applyFill="1" applyBorder="1" applyAlignment="1" applyProtection="1">
      <alignment vertical="top"/>
    </xf>
    <xf numFmtId="0" fontId="31" fillId="4" borderId="0" xfId="0" applyFont="1" applyFill="1" applyAlignment="1" applyProtection="1">
      <alignment horizontal="left" vertical="top" wrapText="1" indent="6"/>
    </xf>
    <xf numFmtId="0" fontId="8" fillId="4" borderId="0" xfId="0" applyFont="1" applyFill="1" applyAlignment="1" applyProtection="1">
      <alignment wrapText="1"/>
    </xf>
    <xf numFmtId="166" fontId="29" fillId="4" borderId="0" xfId="2" applyNumberFormat="1" applyFont="1" applyFill="1" applyAlignment="1" applyProtection="1">
      <alignment horizontal="center"/>
    </xf>
    <xf numFmtId="166" fontId="29" fillId="4" borderId="50" xfId="2" applyNumberFormat="1" applyFont="1" applyFill="1" applyBorder="1" applyAlignment="1" applyProtection="1">
      <alignment horizontal="center"/>
    </xf>
    <xf numFmtId="37" fontId="28" fillId="12" borderId="65" xfId="2" applyNumberFormat="1" applyFont="1" applyFill="1" applyBorder="1" applyProtection="1"/>
    <xf numFmtId="37" fontId="28" fillId="12" borderId="66" xfId="2" applyNumberFormat="1" applyFont="1" applyFill="1" applyBorder="1" applyAlignment="1" applyProtection="1">
      <alignment wrapText="1"/>
    </xf>
    <xf numFmtId="37" fontId="28" fillId="12" borderId="66" xfId="4" applyNumberFormat="1" applyFont="1" applyFill="1" applyBorder="1" applyAlignment="1" applyProtection="1">
      <alignment horizontal="left" vertical="top" wrapText="1"/>
    </xf>
    <xf numFmtId="166" fontId="29" fillId="12" borderId="66" xfId="2" applyNumberFormat="1" applyFont="1" applyFill="1" applyBorder="1" applyProtection="1"/>
    <xf numFmtId="166" fontId="28" fillId="12" borderId="67" xfId="2" quotePrefix="1" applyNumberFormat="1" applyFont="1" applyFill="1" applyBorder="1" applyProtection="1"/>
    <xf numFmtId="37" fontId="6" fillId="14" borderId="0" xfId="4" applyNumberFormat="1" applyFont="1" applyFill="1" applyProtection="1"/>
    <xf numFmtId="0" fontId="2" fillId="14" borderId="0" xfId="0" applyFont="1" applyFill="1" applyAlignment="1" applyProtection="1">
      <alignment horizontal="left" vertical="top" wrapText="1" indent="6"/>
    </xf>
    <xf numFmtId="0" fontId="1" fillId="14" borderId="0" xfId="0" applyFont="1" applyFill="1" applyAlignment="1" applyProtection="1">
      <alignment wrapText="1"/>
    </xf>
    <xf numFmtId="166" fontId="5" fillId="14" borderId="0" xfId="2" applyNumberFormat="1" applyFont="1" applyFill="1" applyAlignment="1" applyProtection="1">
      <alignment horizontal="center"/>
    </xf>
    <xf numFmtId="166" fontId="5" fillId="14" borderId="0" xfId="2" applyNumberFormat="1" applyFont="1" applyFill="1" applyProtection="1"/>
    <xf numFmtId="0" fontId="8" fillId="0" borderId="0" xfId="0" applyFont="1" applyAlignment="1" applyProtection="1">
      <alignment horizontal="left" vertical="top" wrapText="1"/>
    </xf>
    <xf numFmtId="174" fontId="28" fillId="3" borderId="45" xfId="2" applyNumberFormat="1" applyFont="1" applyFill="1" applyBorder="1" applyAlignment="1" applyProtection="1">
      <alignment wrapText="1"/>
      <protection locked="0"/>
    </xf>
    <xf numFmtId="166" fontId="28" fillId="3" borderId="45" xfId="2" applyNumberFormat="1" applyFont="1" applyFill="1" applyBorder="1" applyProtection="1">
      <protection locked="0"/>
    </xf>
    <xf numFmtId="166" fontId="28" fillId="3" borderId="45" xfId="2" applyNumberFormat="1" applyFont="1" applyFill="1" applyBorder="1" applyAlignment="1" applyProtection="1">
      <alignment wrapText="1"/>
      <protection locked="0"/>
    </xf>
    <xf numFmtId="0" fontId="12" fillId="12" borderId="10" xfId="7" applyFill="1" applyBorder="1" applyAlignment="1" applyProtection="1">
      <alignment horizontal="left" wrapText="1"/>
      <protection locked="0"/>
    </xf>
    <xf numFmtId="0" fontId="12" fillId="12" borderId="0" xfId="7" applyFill="1" applyBorder="1" applyAlignment="1" applyProtection="1">
      <alignment horizontal="left" wrapText="1" indent="4"/>
      <protection locked="0"/>
    </xf>
    <xf numFmtId="0" fontId="12" fillId="12" borderId="10" xfId="7" applyFill="1" applyBorder="1" applyAlignment="1" applyProtection="1">
      <alignment horizontal="left" indent="4"/>
      <protection locked="0"/>
    </xf>
  </cellXfs>
  <cellStyles count="10">
    <cellStyle name="Comma" xfId="1" builtinId="3"/>
    <cellStyle name="Comma_Sample - Restricted - Trust Funds" xfId="3" xr:uid="{7D1E1213-383F-4A79-A168-19D7AD5432E1}"/>
    <cellStyle name="Currency" xfId="9" builtinId="4"/>
    <cellStyle name="Currency 2" xfId="6" xr:uid="{8EDD5AFA-1972-4B9E-B12D-79667DA1C9F7}"/>
    <cellStyle name="Hyperlink" xfId="7" builtinId="8"/>
    <cellStyle name="Normal" xfId="0" builtinId="0"/>
    <cellStyle name="Normal 2" xfId="2" xr:uid="{36C5A76E-AAE9-465C-AFB4-456FF57E36C4}"/>
    <cellStyle name="Normal 3" xfId="5" xr:uid="{05006009-50F1-40C2-BF99-77FCC930D560}"/>
    <cellStyle name="Normal_STATEMENT - CURRENT" xfId="4" xr:uid="{E2F172AF-D3D7-4D9C-87D2-B392B7BF9645}"/>
    <cellStyle name="Percent" xfId="8" builtinId="5"/>
  </cellStyles>
  <dxfs count="64">
    <dxf>
      <fill>
        <patternFill>
          <bgColor rgb="FFFFFFCC"/>
        </patternFill>
      </fill>
    </dxf>
    <dxf>
      <font>
        <b/>
        <i val="0"/>
        <condense val="0"/>
        <extend val="0"/>
        <color indexed="13"/>
      </font>
      <fill>
        <patternFill>
          <bgColor indexed="10"/>
        </patternFill>
      </fill>
    </dxf>
    <dxf>
      <fill>
        <patternFill>
          <bgColor rgb="FFFFFFCC"/>
        </patternFill>
      </fill>
    </dxf>
    <dxf>
      <fill>
        <patternFill>
          <bgColor rgb="FFFFFFCC"/>
        </patternFill>
      </fill>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 formatCode="0"/>
    </dxf>
    <dxf>
      <numFmt numFmtId="1" formatCode="0"/>
    </dxf>
    <dxf>
      <numFmt numFmtId="1" formatCode="0"/>
    </dxf>
    <dxf>
      <numFmt numFmtId="1" formatCode="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font>
        <b val="0"/>
        <i val="0"/>
        <strike val="0"/>
        <condense val="0"/>
        <extend val="0"/>
        <outline val="0"/>
        <shadow val="0"/>
        <u val="none"/>
        <vertAlign val="baseline"/>
        <sz val="11"/>
        <color theme="1"/>
        <name val="Calibri"/>
        <family val="2"/>
        <scheme val="minor"/>
      </font>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69" formatCode="&quot;$&quot;#,##0"/>
    </dxf>
    <dxf>
      <numFmt numFmtId="174" formatCode="_-&quot;$&quot;* #,##0_-;\-&quot;$&quot;* #,##0_-;_-&quot;$&quot;* &quot;-&quot;??_-;_-@_-"/>
    </dxf>
    <dxf>
      <numFmt numFmtId="174" formatCode="_-&quot;$&quot;* #,##0_-;\-&quot;$&quot;* #,##0_-;_-&quot;$&quot;* &quot;-&quot;??_-;_-@_-"/>
    </dxf>
    <dxf>
      <alignment horizontal="general" vertical="top" textRotation="0" wrapText="1" indent="0" justifyLastLine="0" shrinkToFit="0" readingOrder="0"/>
    </dxf>
  </dxfs>
  <tableStyles count="0" defaultTableStyle="TableStyleMedium2" defaultPivotStyle="PivotStyleLight16"/>
  <colors>
    <mruColors>
      <color rgb="FFFFFF00"/>
      <color rgb="FFFFFFCC"/>
      <color rgb="FFF3F6FB"/>
      <color rgb="FFFFFFF3"/>
      <color rgb="FFE9EDF7"/>
      <color rgb="FFEEB500"/>
      <color rgb="FFA3902F"/>
      <color rgb="FFFFEE6D"/>
      <color rgb="FFEED2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743946</xdr:colOff>
      <xdr:row>0</xdr:row>
      <xdr:rowOff>0</xdr:rowOff>
    </xdr:from>
    <xdr:to>
      <xdr:col>1</xdr:col>
      <xdr:colOff>1391659</xdr:colOff>
      <xdr:row>1</xdr:row>
      <xdr:rowOff>2569</xdr:rowOff>
    </xdr:to>
    <xdr:pic>
      <xdr:nvPicPr>
        <xdr:cNvPr id="2" name="Picture 1">
          <a:extLst>
            <a:ext uri="{FF2B5EF4-FFF2-40B4-BE49-F238E27FC236}">
              <a16:creationId xmlns:a16="http://schemas.microsoft.com/office/drawing/2014/main" id="{B8ED4569-207C-41CB-AA24-ECF6BB3AF39D}"/>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twoCellAnchor>
  <xdr:oneCellAnchor>
    <xdr:from>
      <xdr:col>4</xdr:col>
      <xdr:colOff>4270375</xdr:colOff>
      <xdr:row>15</xdr:row>
      <xdr:rowOff>1539875</xdr:rowOff>
    </xdr:from>
    <xdr:ext cx="184731" cy="264560"/>
    <xdr:sp macro="" textlink="">
      <xdr:nvSpPr>
        <xdr:cNvPr id="3" name="TextBox 2">
          <a:extLst>
            <a:ext uri="{FF2B5EF4-FFF2-40B4-BE49-F238E27FC236}">
              <a16:creationId xmlns:a16="http://schemas.microsoft.com/office/drawing/2014/main" id="{FA3A7A34-41B9-4CA5-AF30-D8034437391B}"/>
            </a:ext>
          </a:extLst>
        </xdr:cNvPr>
        <xdr:cNvSpPr txBox="1"/>
      </xdr:nvSpPr>
      <xdr:spPr>
        <a:xfrm>
          <a:off x="7706995" y="1275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editAs="absolute">
    <xdr:from>
      <xdr:col>0</xdr:col>
      <xdr:colOff>58766</xdr:colOff>
      <xdr:row>0</xdr:row>
      <xdr:rowOff>54148</xdr:rowOff>
    </xdr:from>
    <xdr:to>
      <xdr:col>1</xdr:col>
      <xdr:colOff>592222</xdr:colOff>
      <xdr:row>0</xdr:row>
      <xdr:rowOff>434867</xdr:rowOff>
    </xdr:to>
    <xdr:pic>
      <xdr:nvPicPr>
        <xdr:cNvPr id="4" name="Picture 3">
          <a:extLst>
            <a:ext uri="{FF2B5EF4-FFF2-40B4-BE49-F238E27FC236}">
              <a16:creationId xmlns:a16="http://schemas.microsoft.com/office/drawing/2014/main" id="{E2CEACBB-D33E-4B92-BAE6-848D967A165E}"/>
            </a:ext>
          </a:extLst>
        </xdr:cNvPr>
        <xdr:cNvPicPr>
          <a:picLocks noChangeAspect="1"/>
        </xdr:cNvPicPr>
      </xdr:nvPicPr>
      <xdr:blipFill>
        <a:blip xmlns:r="http://schemas.openxmlformats.org/officeDocument/2006/relationships" r:embed="rId2"/>
        <a:stretch>
          <a:fillRect/>
        </a:stretch>
      </xdr:blipFill>
      <xdr:spPr>
        <a:xfrm>
          <a:off x="45431" y="50338"/>
          <a:ext cx="1026851" cy="384529"/>
        </a:xfrm>
        <a:prstGeom prst="rect">
          <a:avLst/>
        </a:prstGeom>
      </xdr:spPr>
    </xdr:pic>
    <xdr:clientData/>
  </xdr:twoCellAnchor>
  <xdr:twoCellAnchor editAs="absolute">
    <xdr:from>
      <xdr:col>1</xdr:col>
      <xdr:colOff>1526456</xdr:colOff>
      <xdr:row>0</xdr:row>
      <xdr:rowOff>114024</xdr:rowOff>
    </xdr:from>
    <xdr:to>
      <xdr:col>1</xdr:col>
      <xdr:colOff>2651415</xdr:colOff>
      <xdr:row>0</xdr:row>
      <xdr:rowOff>476423</xdr:rowOff>
    </xdr:to>
    <xdr:pic>
      <xdr:nvPicPr>
        <xdr:cNvPr id="8" name="Picture 7" descr="Logo, company name&#10;&#10;Description automatically generated">
          <a:extLst>
            <a:ext uri="{FF2B5EF4-FFF2-40B4-BE49-F238E27FC236}">
              <a16:creationId xmlns:a16="http://schemas.microsoft.com/office/drawing/2014/main" id="{183C356A-626B-4531-A22B-16DDE51A780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2706" y="114024"/>
          <a:ext cx="1121149" cy="358589"/>
        </a:xfrm>
        <a:prstGeom prst="rect">
          <a:avLst/>
        </a:prstGeom>
      </xdr:spPr>
    </xdr:pic>
    <xdr:clientData/>
  </xdr:twoCellAnchor>
  <xdr:oneCellAnchor>
    <xdr:from>
      <xdr:col>1</xdr:col>
      <xdr:colOff>730611</xdr:colOff>
      <xdr:row>0</xdr:row>
      <xdr:rowOff>0</xdr:rowOff>
    </xdr:from>
    <xdr:ext cx="647713" cy="549824"/>
    <xdr:pic>
      <xdr:nvPicPr>
        <xdr:cNvPr id="6" name="Picture 5">
          <a:extLst>
            <a:ext uri="{FF2B5EF4-FFF2-40B4-BE49-F238E27FC236}">
              <a16:creationId xmlns:a16="http://schemas.microsoft.com/office/drawing/2014/main" id="{354E6483-A8E8-4D80-9255-B2A14C1282D2}"/>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oneCellAnchor>
    <xdr:from>
      <xdr:col>1</xdr:col>
      <xdr:colOff>730611</xdr:colOff>
      <xdr:row>0</xdr:row>
      <xdr:rowOff>0</xdr:rowOff>
    </xdr:from>
    <xdr:ext cx="647713" cy="549824"/>
    <xdr:pic>
      <xdr:nvPicPr>
        <xdr:cNvPr id="12" name="Picture 11">
          <a:extLst>
            <a:ext uri="{FF2B5EF4-FFF2-40B4-BE49-F238E27FC236}">
              <a16:creationId xmlns:a16="http://schemas.microsoft.com/office/drawing/2014/main" id="{6741E980-CF95-4BC4-95E0-0BDE31C28617}"/>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oneCellAnchor>
    <xdr:from>
      <xdr:col>1</xdr:col>
      <xdr:colOff>730611</xdr:colOff>
      <xdr:row>0</xdr:row>
      <xdr:rowOff>0</xdr:rowOff>
    </xdr:from>
    <xdr:ext cx="647713" cy="549824"/>
    <xdr:pic>
      <xdr:nvPicPr>
        <xdr:cNvPr id="15" name="Picture 14">
          <a:extLst>
            <a:ext uri="{FF2B5EF4-FFF2-40B4-BE49-F238E27FC236}">
              <a16:creationId xmlns:a16="http://schemas.microsoft.com/office/drawing/2014/main" id="{78F38A68-F665-4095-BC85-5B6EF79305B7}"/>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1</xdr:col>
      <xdr:colOff>743946</xdr:colOff>
      <xdr:row>0</xdr:row>
      <xdr:rowOff>0</xdr:rowOff>
    </xdr:from>
    <xdr:to>
      <xdr:col>1</xdr:col>
      <xdr:colOff>1391659</xdr:colOff>
      <xdr:row>1</xdr:row>
      <xdr:rowOff>2569</xdr:rowOff>
    </xdr:to>
    <xdr:pic>
      <xdr:nvPicPr>
        <xdr:cNvPr id="2" name="Picture 1">
          <a:extLst>
            <a:ext uri="{FF2B5EF4-FFF2-40B4-BE49-F238E27FC236}">
              <a16:creationId xmlns:a16="http://schemas.microsoft.com/office/drawing/2014/main" id="{D54CB465-ABB0-4060-AF41-F9EB0A020CA4}"/>
            </a:ext>
          </a:extLst>
        </xdr:cNvPr>
        <xdr:cNvPicPr>
          <a:picLocks noChangeAspect="1"/>
        </xdr:cNvPicPr>
      </xdr:nvPicPr>
      <xdr:blipFill>
        <a:blip xmlns:r="http://schemas.openxmlformats.org/officeDocument/2006/relationships" r:embed="rId1"/>
        <a:stretch>
          <a:fillRect/>
        </a:stretch>
      </xdr:blipFill>
      <xdr:spPr>
        <a:xfrm>
          <a:off x="1216386" y="0"/>
          <a:ext cx="647713" cy="555019"/>
        </a:xfrm>
        <a:prstGeom prst="rect">
          <a:avLst/>
        </a:prstGeom>
      </xdr:spPr>
    </xdr:pic>
    <xdr:clientData/>
  </xdr:twoCellAnchor>
  <xdr:oneCellAnchor>
    <xdr:from>
      <xdr:col>4</xdr:col>
      <xdr:colOff>4270375</xdr:colOff>
      <xdr:row>15</xdr:row>
      <xdr:rowOff>1539875</xdr:rowOff>
    </xdr:from>
    <xdr:ext cx="184731" cy="264560"/>
    <xdr:sp macro="" textlink="">
      <xdr:nvSpPr>
        <xdr:cNvPr id="3" name="TextBox 2">
          <a:extLst>
            <a:ext uri="{FF2B5EF4-FFF2-40B4-BE49-F238E27FC236}">
              <a16:creationId xmlns:a16="http://schemas.microsoft.com/office/drawing/2014/main" id="{0675138E-32A2-4065-9959-865CCCEC5C41}"/>
            </a:ext>
          </a:extLst>
        </xdr:cNvPr>
        <xdr:cNvSpPr txBox="1"/>
      </xdr:nvSpPr>
      <xdr:spPr>
        <a:xfrm>
          <a:off x="7880350" y="11706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editAs="absolute">
    <xdr:from>
      <xdr:col>0</xdr:col>
      <xdr:colOff>58766</xdr:colOff>
      <xdr:row>0</xdr:row>
      <xdr:rowOff>54148</xdr:rowOff>
    </xdr:from>
    <xdr:to>
      <xdr:col>1</xdr:col>
      <xdr:colOff>592222</xdr:colOff>
      <xdr:row>0</xdr:row>
      <xdr:rowOff>434867</xdr:rowOff>
    </xdr:to>
    <xdr:pic>
      <xdr:nvPicPr>
        <xdr:cNvPr id="4" name="Picture 3">
          <a:extLst>
            <a:ext uri="{FF2B5EF4-FFF2-40B4-BE49-F238E27FC236}">
              <a16:creationId xmlns:a16="http://schemas.microsoft.com/office/drawing/2014/main" id="{65E7C452-0F7F-4306-92AB-32964DB35276}"/>
            </a:ext>
          </a:extLst>
        </xdr:cNvPr>
        <xdr:cNvPicPr>
          <a:picLocks noChangeAspect="1"/>
        </xdr:cNvPicPr>
      </xdr:nvPicPr>
      <xdr:blipFill>
        <a:blip xmlns:r="http://schemas.openxmlformats.org/officeDocument/2006/relationships" r:embed="rId2"/>
        <a:stretch>
          <a:fillRect/>
        </a:stretch>
      </xdr:blipFill>
      <xdr:spPr>
        <a:xfrm>
          <a:off x="54956" y="57958"/>
          <a:ext cx="1009706" cy="380719"/>
        </a:xfrm>
        <a:prstGeom prst="rect">
          <a:avLst/>
        </a:prstGeom>
      </xdr:spPr>
    </xdr:pic>
    <xdr:clientData/>
  </xdr:twoCellAnchor>
  <xdr:twoCellAnchor editAs="absolute">
    <xdr:from>
      <xdr:col>1</xdr:col>
      <xdr:colOff>1526456</xdr:colOff>
      <xdr:row>0</xdr:row>
      <xdr:rowOff>114024</xdr:rowOff>
    </xdr:from>
    <xdr:to>
      <xdr:col>1</xdr:col>
      <xdr:colOff>2651415</xdr:colOff>
      <xdr:row>0</xdr:row>
      <xdr:rowOff>476423</xdr:rowOff>
    </xdr:to>
    <xdr:pic>
      <xdr:nvPicPr>
        <xdr:cNvPr id="5" name="Picture 4" descr="Logo, company name&#10;&#10;Description automatically generated">
          <a:extLst>
            <a:ext uri="{FF2B5EF4-FFF2-40B4-BE49-F238E27FC236}">
              <a16:creationId xmlns:a16="http://schemas.microsoft.com/office/drawing/2014/main" id="{7455C3C9-6378-4B40-9E9B-1B1C6B1067D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2706" y="114024"/>
          <a:ext cx="1121149" cy="358589"/>
        </a:xfrm>
        <a:prstGeom prst="rect">
          <a:avLst/>
        </a:prstGeom>
      </xdr:spPr>
    </xdr:pic>
    <xdr:clientData/>
  </xdr:twoCellAnchor>
  <xdr:oneCellAnchor>
    <xdr:from>
      <xdr:col>1</xdr:col>
      <xdr:colOff>730611</xdr:colOff>
      <xdr:row>0</xdr:row>
      <xdr:rowOff>0</xdr:rowOff>
    </xdr:from>
    <xdr:ext cx="647713" cy="549824"/>
    <xdr:pic>
      <xdr:nvPicPr>
        <xdr:cNvPr id="6" name="Picture 5">
          <a:extLst>
            <a:ext uri="{FF2B5EF4-FFF2-40B4-BE49-F238E27FC236}">
              <a16:creationId xmlns:a16="http://schemas.microsoft.com/office/drawing/2014/main" id="{FC7BAB00-6EE1-4662-8538-2B1FF6EEB91E}"/>
            </a:ext>
          </a:extLst>
        </xdr:cNvPr>
        <xdr:cNvPicPr>
          <a:picLocks noChangeAspect="1"/>
        </xdr:cNvPicPr>
      </xdr:nvPicPr>
      <xdr:blipFill>
        <a:blip xmlns:r="http://schemas.openxmlformats.org/officeDocument/2006/relationships" r:embed="rId1"/>
        <a:stretch>
          <a:fillRect/>
        </a:stretch>
      </xdr:blipFill>
      <xdr:spPr>
        <a:xfrm>
          <a:off x="1208766" y="0"/>
          <a:ext cx="647713" cy="549824"/>
        </a:xfrm>
        <a:prstGeom prst="rect">
          <a:avLst/>
        </a:prstGeom>
      </xdr:spPr>
    </xdr:pic>
    <xdr:clientData/>
  </xdr:oneCellAnchor>
  <xdr:oneCellAnchor>
    <xdr:from>
      <xdr:col>1</xdr:col>
      <xdr:colOff>730611</xdr:colOff>
      <xdr:row>0</xdr:row>
      <xdr:rowOff>0</xdr:rowOff>
    </xdr:from>
    <xdr:ext cx="647713" cy="549824"/>
    <xdr:pic>
      <xdr:nvPicPr>
        <xdr:cNvPr id="7" name="Picture 6">
          <a:extLst>
            <a:ext uri="{FF2B5EF4-FFF2-40B4-BE49-F238E27FC236}">
              <a16:creationId xmlns:a16="http://schemas.microsoft.com/office/drawing/2014/main" id="{2290994D-F19F-4C56-AC88-82CA282769C7}"/>
            </a:ext>
          </a:extLst>
        </xdr:cNvPr>
        <xdr:cNvPicPr>
          <a:picLocks noChangeAspect="1"/>
        </xdr:cNvPicPr>
      </xdr:nvPicPr>
      <xdr:blipFill>
        <a:blip xmlns:r="http://schemas.openxmlformats.org/officeDocument/2006/relationships" r:embed="rId1"/>
        <a:stretch>
          <a:fillRect/>
        </a:stretch>
      </xdr:blipFill>
      <xdr:spPr>
        <a:xfrm>
          <a:off x="1208766" y="0"/>
          <a:ext cx="647713" cy="549824"/>
        </a:xfrm>
        <a:prstGeom prst="rect">
          <a:avLst/>
        </a:prstGeom>
      </xdr:spPr>
    </xdr:pic>
    <xdr:clientData/>
  </xdr:oneCellAnchor>
  <xdr:oneCellAnchor>
    <xdr:from>
      <xdr:col>1</xdr:col>
      <xdr:colOff>730611</xdr:colOff>
      <xdr:row>0</xdr:row>
      <xdr:rowOff>0</xdr:rowOff>
    </xdr:from>
    <xdr:ext cx="647713" cy="549824"/>
    <xdr:pic>
      <xdr:nvPicPr>
        <xdr:cNvPr id="8" name="Picture 7">
          <a:extLst>
            <a:ext uri="{FF2B5EF4-FFF2-40B4-BE49-F238E27FC236}">
              <a16:creationId xmlns:a16="http://schemas.microsoft.com/office/drawing/2014/main" id="{B0E47ED8-AAFB-4ED4-A723-39782031E334}"/>
            </a:ext>
          </a:extLst>
        </xdr:cNvPr>
        <xdr:cNvPicPr>
          <a:picLocks noChangeAspect="1"/>
        </xdr:cNvPicPr>
      </xdr:nvPicPr>
      <xdr:blipFill>
        <a:blip xmlns:r="http://schemas.openxmlformats.org/officeDocument/2006/relationships" r:embed="rId1"/>
        <a:stretch>
          <a:fillRect/>
        </a:stretch>
      </xdr:blipFill>
      <xdr:spPr>
        <a:xfrm>
          <a:off x="1208766" y="0"/>
          <a:ext cx="647713" cy="549824"/>
        </a:xfrm>
        <a:prstGeom prst="rect">
          <a:avLst/>
        </a:prstGeom>
      </xdr:spPr>
    </xdr:pic>
    <xdr:clientData/>
  </xdr:oneCellAnchor>
  <xdr:oneCellAnchor>
    <xdr:from>
      <xdr:col>0</xdr:col>
      <xdr:colOff>38100</xdr:colOff>
      <xdr:row>7</xdr:row>
      <xdr:rowOff>2026708</xdr:rowOff>
    </xdr:from>
    <xdr:ext cx="11166744" cy="937629"/>
    <xdr:sp macro="" textlink="">
      <xdr:nvSpPr>
        <xdr:cNvPr id="10" name="Rectangle 9">
          <a:extLst>
            <a:ext uri="{FF2B5EF4-FFF2-40B4-BE49-F238E27FC236}">
              <a16:creationId xmlns:a16="http://schemas.microsoft.com/office/drawing/2014/main" id="{1863BE32-AC92-4492-A7EB-8C34A29009D1}"/>
            </a:ext>
            <a:ext uri="{147F2762-F138-4A5C-976F-8EAC2B608ADB}">
              <a16:predDERef xmlns:a16="http://schemas.microsoft.com/office/drawing/2014/main" pred="{B0E47ED8-AAFB-4ED4-A723-39782031E334}"/>
            </a:ext>
          </a:extLst>
        </xdr:cNvPr>
        <xdr:cNvSpPr/>
      </xdr:nvSpPr>
      <xdr:spPr>
        <a:xfrm rot="19993165">
          <a:off x="38100" y="4855633"/>
          <a:ext cx="11166744"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 ONLY</a:t>
          </a:r>
        </a:p>
      </xdr:txBody>
    </xdr:sp>
    <xdr:clientData/>
  </xdr:oneCellAnchor>
  <xdr:oneCellAnchor>
    <xdr:from>
      <xdr:col>4</xdr:col>
      <xdr:colOff>4270375</xdr:colOff>
      <xdr:row>15</xdr:row>
      <xdr:rowOff>1539875</xdr:rowOff>
    </xdr:from>
    <xdr:ext cx="184731" cy="264560"/>
    <xdr:sp macro="" textlink="">
      <xdr:nvSpPr>
        <xdr:cNvPr id="9" name="TextBox 2">
          <a:extLst>
            <a:ext uri="{FF2B5EF4-FFF2-40B4-BE49-F238E27FC236}">
              <a16:creationId xmlns:a16="http://schemas.microsoft.com/office/drawing/2014/main" id="{0A9DD125-5535-4A91-8345-9C2A69C42AAB}"/>
            </a:ext>
            <a:ext uri="{147F2762-F138-4A5C-976F-8EAC2B608ADB}">
              <a16:predDERef xmlns:a16="http://schemas.microsoft.com/office/drawing/2014/main" pred="{1863BE32-AC92-4492-A7EB-8C34A29009D1}"/>
            </a:ext>
          </a:extLst>
        </xdr:cNvPr>
        <xdr:cNvSpPr txBox="1"/>
      </xdr:nvSpPr>
      <xdr:spPr>
        <a:xfrm>
          <a:off x="7670800" y="1115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1</xdr:col>
      <xdr:colOff>730611</xdr:colOff>
      <xdr:row>0</xdr:row>
      <xdr:rowOff>0</xdr:rowOff>
    </xdr:from>
    <xdr:ext cx="647713" cy="549824"/>
    <xdr:pic>
      <xdr:nvPicPr>
        <xdr:cNvPr id="11" name="Picture 5">
          <a:extLst>
            <a:ext uri="{FF2B5EF4-FFF2-40B4-BE49-F238E27FC236}">
              <a16:creationId xmlns:a16="http://schemas.microsoft.com/office/drawing/2014/main" id="{084F745F-8567-43DF-8BA1-4268F6E5343A}"/>
            </a:ext>
            <a:ext uri="{147F2762-F138-4A5C-976F-8EAC2B608ADB}">
              <a16:predDERef xmlns:a16="http://schemas.microsoft.com/office/drawing/2014/main" pred="{0A9DD125-5535-4A91-8345-9C2A69C42AAB}"/>
            </a:ext>
          </a:extLst>
        </xdr:cNvPr>
        <xdr:cNvPicPr>
          <a:picLocks noChangeAspect="1"/>
        </xdr:cNvPicPr>
      </xdr:nvPicPr>
      <xdr:blipFill>
        <a:blip xmlns:r="http://schemas.openxmlformats.org/officeDocument/2006/relationships" r:embed="rId1"/>
        <a:stretch>
          <a:fillRect/>
        </a:stretch>
      </xdr:blipFill>
      <xdr:spPr>
        <a:xfrm>
          <a:off x="1197336" y="0"/>
          <a:ext cx="647713" cy="549824"/>
        </a:xfrm>
        <a:prstGeom prst="rect">
          <a:avLst/>
        </a:prstGeom>
      </xdr:spPr>
    </xdr:pic>
    <xdr:clientData/>
  </xdr:oneCellAnchor>
  <xdr:oneCellAnchor>
    <xdr:from>
      <xdr:col>1</xdr:col>
      <xdr:colOff>730611</xdr:colOff>
      <xdr:row>0</xdr:row>
      <xdr:rowOff>0</xdr:rowOff>
    </xdr:from>
    <xdr:ext cx="647713" cy="549824"/>
    <xdr:pic>
      <xdr:nvPicPr>
        <xdr:cNvPr id="12" name="Picture 11">
          <a:extLst>
            <a:ext uri="{FF2B5EF4-FFF2-40B4-BE49-F238E27FC236}">
              <a16:creationId xmlns:a16="http://schemas.microsoft.com/office/drawing/2014/main" id="{1FC1483C-3D65-4F73-88CA-22B90BE959DA}"/>
            </a:ext>
            <a:ext uri="{147F2762-F138-4A5C-976F-8EAC2B608ADB}">
              <a16:predDERef xmlns:a16="http://schemas.microsoft.com/office/drawing/2014/main" pred="{084F745F-8567-43DF-8BA1-4268F6E5343A}"/>
            </a:ext>
          </a:extLst>
        </xdr:cNvPr>
        <xdr:cNvPicPr>
          <a:picLocks noChangeAspect="1"/>
        </xdr:cNvPicPr>
      </xdr:nvPicPr>
      <xdr:blipFill>
        <a:blip xmlns:r="http://schemas.openxmlformats.org/officeDocument/2006/relationships" r:embed="rId1"/>
        <a:stretch>
          <a:fillRect/>
        </a:stretch>
      </xdr:blipFill>
      <xdr:spPr>
        <a:xfrm>
          <a:off x="1197336" y="0"/>
          <a:ext cx="647713" cy="549824"/>
        </a:xfrm>
        <a:prstGeom prst="rect">
          <a:avLst/>
        </a:prstGeom>
      </xdr:spPr>
    </xdr:pic>
    <xdr:clientData/>
  </xdr:oneCellAnchor>
  <xdr:oneCellAnchor>
    <xdr:from>
      <xdr:col>1</xdr:col>
      <xdr:colOff>730611</xdr:colOff>
      <xdr:row>0</xdr:row>
      <xdr:rowOff>0</xdr:rowOff>
    </xdr:from>
    <xdr:ext cx="647713" cy="549824"/>
    <xdr:pic>
      <xdr:nvPicPr>
        <xdr:cNvPr id="13" name="Picture 14">
          <a:extLst>
            <a:ext uri="{FF2B5EF4-FFF2-40B4-BE49-F238E27FC236}">
              <a16:creationId xmlns:a16="http://schemas.microsoft.com/office/drawing/2014/main" id="{DD7B4FC7-86E4-49CA-89A2-C3D0AB2D0832}"/>
            </a:ext>
            <a:ext uri="{147F2762-F138-4A5C-976F-8EAC2B608ADB}">
              <a16:predDERef xmlns:a16="http://schemas.microsoft.com/office/drawing/2014/main" pred="{1FC1483C-3D65-4F73-88CA-22B90BE959DA}"/>
            </a:ext>
          </a:extLst>
        </xdr:cNvPr>
        <xdr:cNvPicPr>
          <a:picLocks noChangeAspect="1"/>
        </xdr:cNvPicPr>
      </xdr:nvPicPr>
      <xdr:blipFill>
        <a:blip xmlns:r="http://schemas.openxmlformats.org/officeDocument/2006/relationships" r:embed="rId1"/>
        <a:stretch>
          <a:fillRect/>
        </a:stretch>
      </xdr:blipFill>
      <xdr:spPr>
        <a:xfrm>
          <a:off x="1197336" y="0"/>
          <a:ext cx="647713" cy="5498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730611</xdr:colOff>
      <xdr:row>0</xdr:row>
      <xdr:rowOff>0</xdr:rowOff>
    </xdr:from>
    <xdr:ext cx="647713" cy="549824"/>
    <xdr:pic>
      <xdr:nvPicPr>
        <xdr:cNvPr id="2" name="Picture 1">
          <a:extLst>
            <a:ext uri="{FF2B5EF4-FFF2-40B4-BE49-F238E27FC236}">
              <a16:creationId xmlns:a16="http://schemas.microsoft.com/office/drawing/2014/main" id="{88306762-1E91-4939-8B48-B6A80407EA6E}"/>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oneCellAnchor>
    <xdr:from>
      <xdr:col>5</xdr:col>
      <xdr:colOff>4270375</xdr:colOff>
      <xdr:row>30</xdr:row>
      <xdr:rowOff>1539875</xdr:rowOff>
    </xdr:from>
    <xdr:ext cx="184731" cy="264560"/>
    <xdr:sp macro="" textlink="">
      <xdr:nvSpPr>
        <xdr:cNvPr id="4" name="TextBox 3">
          <a:extLst>
            <a:ext uri="{FF2B5EF4-FFF2-40B4-BE49-F238E27FC236}">
              <a16:creationId xmlns:a16="http://schemas.microsoft.com/office/drawing/2014/main" id="{2E984E01-8BCD-45CF-9186-EC05916A9407}"/>
            </a:ext>
          </a:extLst>
        </xdr:cNvPr>
        <xdr:cNvSpPr txBox="1"/>
      </xdr:nvSpPr>
      <xdr:spPr>
        <a:xfrm>
          <a:off x="7706995" y="1354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editAs="oneCell">
    <xdr:from>
      <xdr:col>0</xdr:col>
      <xdr:colOff>114011</xdr:colOff>
      <xdr:row>0</xdr:row>
      <xdr:rowOff>80818</xdr:rowOff>
    </xdr:from>
    <xdr:to>
      <xdr:col>1</xdr:col>
      <xdr:colOff>647467</xdr:colOff>
      <xdr:row>0</xdr:row>
      <xdr:rowOff>453917</xdr:rowOff>
    </xdr:to>
    <xdr:pic>
      <xdr:nvPicPr>
        <xdr:cNvPr id="5" name="Picture 4">
          <a:extLst>
            <a:ext uri="{FF2B5EF4-FFF2-40B4-BE49-F238E27FC236}">
              <a16:creationId xmlns:a16="http://schemas.microsoft.com/office/drawing/2014/main" id="{07584E84-F559-4573-950F-513A3E5566B2}"/>
            </a:ext>
          </a:extLst>
        </xdr:cNvPr>
        <xdr:cNvPicPr>
          <a:picLocks noChangeAspect="1"/>
        </xdr:cNvPicPr>
      </xdr:nvPicPr>
      <xdr:blipFill>
        <a:blip xmlns:r="http://schemas.openxmlformats.org/officeDocument/2006/relationships" r:embed="rId2"/>
        <a:stretch>
          <a:fillRect/>
        </a:stretch>
      </xdr:blipFill>
      <xdr:spPr>
        <a:xfrm>
          <a:off x="114011" y="80818"/>
          <a:ext cx="1013516" cy="373099"/>
        </a:xfrm>
        <a:prstGeom prst="rect">
          <a:avLst/>
        </a:prstGeom>
      </xdr:spPr>
    </xdr:pic>
    <xdr:clientData/>
  </xdr:twoCellAnchor>
  <xdr:twoCellAnchor>
    <xdr:from>
      <xdr:col>6</xdr:col>
      <xdr:colOff>190500</xdr:colOff>
      <xdr:row>32</xdr:row>
      <xdr:rowOff>1385455</xdr:rowOff>
    </xdr:from>
    <xdr:to>
      <xdr:col>7</xdr:col>
      <xdr:colOff>17318</xdr:colOff>
      <xdr:row>32</xdr:row>
      <xdr:rowOff>1688523</xdr:rowOff>
    </xdr:to>
    <xdr:sp macro="" textlink="">
      <xdr:nvSpPr>
        <xdr:cNvPr id="6" name="TextBox 5">
          <a:extLst>
            <a:ext uri="{FF2B5EF4-FFF2-40B4-BE49-F238E27FC236}">
              <a16:creationId xmlns:a16="http://schemas.microsoft.com/office/drawing/2014/main" id="{8EE8BECF-D3E4-4BF3-852E-2FB906FBF29A}"/>
            </a:ext>
          </a:extLst>
        </xdr:cNvPr>
        <xdr:cNvSpPr txBox="1"/>
      </xdr:nvSpPr>
      <xdr:spPr>
        <a:xfrm>
          <a:off x="7894320" y="14743315"/>
          <a:ext cx="98505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prepopulate  </a:t>
          </a:r>
        </a:p>
        <a:p>
          <a:endParaRPr lang="en-CA" sz="1100"/>
        </a:p>
      </xdr:txBody>
    </xdr:sp>
    <xdr:clientData/>
  </xdr:twoCellAnchor>
  <xdr:oneCellAnchor>
    <xdr:from>
      <xdr:col>0</xdr:col>
      <xdr:colOff>426244</xdr:colOff>
      <xdr:row>17</xdr:row>
      <xdr:rowOff>261938</xdr:rowOff>
    </xdr:from>
    <xdr:ext cx="11166744" cy="937629"/>
    <xdr:sp macro="" textlink="">
      <xdr:nvSpPr>
        <xdr:cNvPr id="8" name="Rectangle 7">
          <a:extLst>
            <a:ext uri="{FF2B5EF4-FFF2-40B4-BE49-F238E27FC236}">
              <a16:creationId xmlns:a16="http://schemas.microsoft.com/office/drawing/2014/main" id="{74011F0D-490C-441D-AE86-6A415F38D5A9}"/>
            </a:ext>
          </a:extLst>
        </xdr:cNvPr>
        <xdr:cNvSpPr/>
      </xdr:nvSpPr>
      <xdr:spPr>
        <a:xfrm rot="19993165">
          <a:off x="426244" y="7339013"/>
          <a:ext cx="11166744" cy="937629"/>
        </a:xfrm>
        <a:prstGeom prst="rect">
          <a:avLst/>
        </a:prstGeom>
        <a:noFill/>
      </xdr:spPr>
      <xdr:txBody>
        <a:bodyPr wrap="square" lIns="91440" tIns="45720" rIns="91440" bIns="45720">
          <a:spAutoFit/>
        </a:bodyPr>
        <a:lstStyle/>
        <a:p>
          <a:pPr algn="ctr"/>
          <a:r>
            <a:rPr lang="en-US" sz="5400" b="1" cap="none" spc="50">
              <a:ln w="0"/>
              <a:solidFill>
                <a:schemeClr val="bg2"/>
              </a:solidFill>
              <a:effectLst>
                <a:innerShdw blurRad="63500" dist="50800" dir="13500000">
                  <a:srgbClr val="000000">
                    <a:alpha val="50000"/>
                  </a:srgbClr>
                </a:innerShdw>
              </a:effectLst>
            </a:rPr>
            <a:t>EXAMPLE ONLY</a:t>
          </a:r>
        </a:p>
      </xdr:txBody>
    </xdr:sp>
    <xdr:clientData/>
  </xdr:oneCellAnchor>
  <xdr:twoCellAnchor>
    <xdr:from>
      <xdr:col>3</xdr:col>
      <xdr:colOff>16192</xdr:colOff>
      <xdr:row>38</xdr:row>
      <xdr:rowOff>354330</xdr:rowOff>
    </xdr:from>
    <xdr:to>
      <xdr:col>7</xdr:col>
      <xdr:colOff>1092517</xdr:colOff>
      <xdr:row>40</xdr:row>
      <xdr:rowOff>57150</xdr:rowOff>
    </xdr:to>
    <xdr:sp macro="" textlink="">
      <xdr:nvSpPr>
        <xdr:cNvPr id="9" name="TextBox 8">
          <a:extLst>
            <a:ext uri="{FF2B5EF4-FFF2-40B4-BE49-F238E27FC236}">
              <a16:creationId xmlns:a16="http://schemas.microsoft.com/office/drawing/2014/main" id="{A7FA0016-4751-4529-B895-FF2ABF943AA0}"/>
            </a:ext>
          </a:extLst>
        </xdr:cNvPr>
        <xdr:cNvSpPr txBox="1"/>
      </xdr:nvSpPr>
      <xdr:spPr>
        <a:xfrm>
          <a:off x="5359717" y="16451580"/>
          <a:ext cx="4591050" cy="826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cell H38 (Amended budget for First Nation Student Transportation) is equal to or greater than cell G27 (School District Transportation Proxy), display will be "Yes" otherwise will be "No, please explain in space provided"</a:t>
          </a:r>
        </a:p>
      </xdr:txBody>
    </xdr:sp>
    <xdr:clientData/>
  </xdr:twoCellAnchor>
  <xdr:oneCellAnchor>
    <xdr:from>
      <xdr:col>1</xdr:col>
      <xdr:colOff>730611</xdr:colOff>
      <xdr:row>0</xdr:row>
      <xdr:rowOff>0</xdr:rowOff>
    </xdr:from>
    <xdr:ext cx="647713" cy="549824"/>
    <xdr:pic>
      <xdr:nvPicPr>
        <xdr:cNvPr id="10" name="Picture 9">
          <a:extLst>
            <a:ext uri="{FF2B5EF4-FFF2-40B4-BE49-F238E27FC236}">
              <a16:creationId xmlns:a16="http://schemas.microsoft.com/office/drawing/2014/main" id="{F9D97441-5CD0-4AA0-A6D4-C73AD223E2BC}"/>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oneCellAnchor>
    <xdr:from>
      <xdr:col>5</xdr:col>
      <xdr:colOff>4270375</xdr:colOff>
      <xdr:row>28</xdr:row>
      <xdr:rowOff>1539875</xdr:rowOff>
    </xdr:from>
    <xdr:ext cx="184731" cy="264560"/>
    <xdr:sp macro="" textlink="">
      <xdr:nvSpPr>
        <xdr:cNvPr id="12" name="TextBox 11">
          <a:extLst>
            <a:ext uri="{FF2B5EF4-FFF2-40B4-BE49-F238E27FC236}">
              <a16:creationId xmlns:a16="http://schemas.microsoft.com/office/drawing/2014/main" id="{298AB9FC-282C-4EA3-9145-06CE8B2A8CA5}"/>
            </a:ext>
          </a:extLst>
        </xdr:cNvPr>
        <xdr:cNvSpPr txBox="1"/>
      </xdr:nvSpPr>
      <xdr:spPr>
        <a:xfrm>
          <a:off x="7706995" y="128098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6</xdr:col>
      <xdr:colOff>190500</xdr:colOff>
      <xdr:row>30</xdr:row>
      <xdr:rowOff>1385455</xdr:rowOff>
    </xdr:from>
    <xdr:to>
      <xdr:col>7</xdr:col>
      <xdr:colOff>17318</xdr:colOff>
      <xdr:row>30</xdr:row>
      <xdr:rowOff>1688523</xdr:rowOff>
    </xdr:to>
    <xdr:sp macro="" textlink="">
      <xdr:nvSpPr>
        <xdr:cNvPr id="14" name="TextBox 13">
          <a:extLst>
            <a:ext uri="{FF2B5EF4-FFF2-40B4-BE49-F238E27FC236}">
              <a16:creationId xmlns:a16="http://schemas.microsoft.com/office/drawing/2014/main" id="{69B803E8-8DE2-4A6E-9E58-36099E806CCC}"/>
            </a:ext>
          </a:extLst>
        </xdr:cNvPr>
        <xdr:cNvSpPr txBox="1"/>
      </xdr:nvSpPr>
      <xdr:spPr>
        <a:xfrm>
          <a:off x="7894320" y="13905115"/>
          <a:ext cx="98505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prepopulate  </a:t>
          </a:r>
        </a:p>
        <a:p>
          <a:endParaRPr lang="en-CA" sz="1100"/>
        </a:p>
      </xdr:txBody>
    </xdr:sp>
    <xdr:clientData/>
  </xdr:twoCellAnchor>
  <xdr:twoCellAnchor>
    <xdr:from>
      <xdr:col>8</xdr:col>
      <xdr:colOff>144262</xdr:colOff>
      <xdr:row>38</xdr:row>
      <xdr:rowOff>45892</xdr:rowOff>
    </xdr:from>
    <xdr:to>
      <xdr:col>8</xdr:col>
      <xdr:colOff>1135065</xdr:colOff>
      <xdr:row>38</xdr:row>
      <xdr:rowOff>506383</xdr:rowOff>
    </xdr:to>
    <xdr:sp macro="" textlink="">
      <xdr:nvSpPr>
        <xdr:cNvPr id="15" name="TextBox 14">
          <a:extLst>
            <a:ext uri="{FF2B5EF4-FFF2-40B4-BE49-F238E27FC236}">
              <a16:creationId xmlns:a16="http://schemas.microsoft.com/office/drawing/2014/main" id="{462BCFC1-6A4B-4091-9D0B-7F656807C856}"/>
            </a:ext>
          </a:extLst>
        </xdr:cNvPr>
        <xdr:cNvSpPr txBox="1"/>
      </xdr:nvSpPr>
      <xdr:spPr>
        <a:xfrm>
          <a:off x="10164562" y="16095517"/>
          <a:ext cx="990803" cy="46049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a:t>School</a:t>
          </a:r>
          <a:r>
            <a:rPr lang="en-CA" sz="1100" baseline="0"/>
            <a:t> district proxy spend:  </a:t>
          </a:r>
          <a:endParaRPr lang="en-CA" sz="1100"/>
        </a:p>
      </xdr:txBody>
    </xdr:sp>
    <xdr:clientData/>
  </xdr:twoCellAnchor>
  <xdr:twoCellAnchor>
    <xdr:from>
      <xdr:col>7</xdr:col>
      <xdr:colOff>190500</xdr:colOff>
      <xdr:row>30</xdr:row>
      <xdr:rowOff>1385455</xdr:rowOff>
    </xdr:from>
    <xdr:to>
      <xdr:col>8</xdr:col>
      <xdr:colOff>17318</xdr:colOff>
      <xdr:row>30</xdr:row>
      <xdr:rowOff>1688523</xdr:rowOff>
    </xdr:to>
    <xdr:sp macro="" textlink="">
      <xdr:nvSpPr>
        <xdr:cNvPr id="16" name="TextBox 15">
          <a:extLst>
            <a:ext uri="{FF2B5EF4-FFF2-40B4-BE49-F238E27FC236}">
              <a16:creationId xmlns:a16="http://schemas.microsoft.com/office/drawing/2014/main" id="{B14AE575-574D-469D-A427-730264A1DCC8}"/>
            </a:ext>
          </a:extLst>
        </xdr:cNvPr>
        <xdr:cNvSpPr txBox="1"/>
      </xdr:nvSpPr>
      <xdr:spPr>
        <a:xfrm>
          <a:off x="7886700" y="13943215"/>
          <a:ext cx="98886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prepopulate  </a:t>
          </a:r>
        </a:p>
        <a:p>
          <a:endParaRPr lang="en-CA" sz="1100"/>
        </a:p>
      </xdr:txBody>
    </xdr:sp>
    <xdr:clientData/>
  </xdr:twoCellAnchor>
  <xdr:twoCellAnchor editAs="oneCell">
    <xdr:from>
      <xdr:col>1</xdr:col>
      <xdr:colOff>1552575</xdr:colOff>
      <xdr:row>0</xdr:row>
      <xdr:rowOff>85725</xdr:rowOff>
    </xdr:from>
    <xdr:to>
      <xdr:col>1</xdr:col>
      <xdr:colOff>2664199</xdr:colOff>
      <xdr:row>0</xdr:row>
      <xdr:rowOff>440504</xdr:rowOff>
    </xdr:to>
    <xdr:pic>
      <xdr:nvPicPr>
        <xdr:cNvPr id="7" name="Picture 6" descr="Logo, company name&#10;&#10;Description automatically generated">
          <a:extLst>
            <a:ext uri="{FF2B5EF4-FFF2-40B4-BE49-F238E27FC236}">
              <a16:creationId xmlns:a16="http://schemas.microsoft.com/office/drawing/2014/main" id="{15AFAF7A-D4E5-41A3-84AF-8091D326A7B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8825" y="85725"/>
          <a:ext cx="1111624" cy="358589"/>
        </a:xfrm>
        <a:prstGeom prst="rect">
          <a:avLst/>
        </a:prstGeom>
      </xdr:spPr>
    </xdr:pic>
    <xdr:clientData/>
  </xdr:twoCellAnchor>
  <xdr:oneCellAnchor>
    <xdr:from>
      <xdr:col>1</xdr:col>
      <xdr:colOff>730611</xdr:colOff>
      <xdr:row>0</xdr:row>
      <xdr:rowOff>0</xdr:rowOff>
    </xdr:from>
    <xdr:ext cx="647713" cy="549824"/>
    <xdr:pic>
      <xdr:nvPicPr>
        <xdr:cNvPr id="3" name="Picture 2">
          <a:extLst>
            <a:ext uri="{FF2B5EF4-FFF2-40B4-BE49-F238E27FC236}">
              <a16:creationId xmlns:a16="http://schemas.microsoft.com/office/drawing/2014/main" id="{C9CE0197-4A04-4F69-A26B-37195F04B93E}"/>
            </a:ext>
          </a:extLst>
        </xdr:cNvPr>
        <xdr:cNvPicPr>
          <a:picLocks noChangeAspect="1"/>
        </xdr:cNvPicPr>
      </xdr:nvPicPr>
      <xdr:blipFill>
        <a:blip xmlns:r="http://schemas.openxmlformats.org/officeDocument/2006/relationships" r:embed="rId1"/>
        <a:stretch>
          <a:fillRect/>
        </a:stretch>
      </xdr:blipFill>
      <xdr:spPr>
        <a:xfrm>
          <a:off x="1210671" y="0"/>
          <a:ext cx="647713" cy="549824"/>
        </a:xfrm>
        <a:prstGeom prst="rect">
          <a:avLst/>
        </a:prstGeom>
      </xdr:spPr>
    </xdr:pic>
    <xdr:clientData/>
  </xdr:oneCellAnchor>
  <xdr:oneCellAnchor>
    <xdr:from>
      <xdr:col>5</xdr:col>
      <xdr:colOff>4270375</xdr:colOff>
      <xdr:row>28</xdr:row>
      <xdr:rowOff>1539875</xdr:rowOff>
    </xdr:from>
    <xdr:ext cx="184731" cy="264560"/>
    <xdr:sp macro="" textlink="">
      <xdr:nvSpPr>
        <xdr:cNvPr id="11" name="TextBox 10">
          <a:extLst>
            <a:ext uri="{FF2B5EF4-FFF2-40B4-BE49-F238E27FC236}">
              <a16:creationId xmlns:a16="http://schemas.microsoft.com/office/drawing/2014/main" id="{9A44880A-6F9B-433A-A204-84AFC9A8694F}"/>
            </a:ext>
          </a:extLst>
        </xdr:cNvPr>
        <xdr:cNvSpPr txBox="1"/>
      </xdr:nvSpPr>
      <xdr:spPr>
        <a:xfrm>
          <a:off x="7706995" y="1275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editAs="oneCell">
    <xdr:from>
      <xdr:col>0</xdr:col>
      <xdr:colOff>45431</xdr:colOff>
      <xdr:row>0</xdr:row>
      <xdr:rowOff>50338</xdr:rowOff>
    </xdr:from>
    <xdr:to>
      <xdr:col>1</xdr:col>
      <xdr:colOff>592222</xdr:colOff>
      <xdr:row>0</xdr:row>
      <xdr:rowOff>434867</xdr:rowOff>
    </xdr:to>
    <xdr:pic>
      <xdr:nvPicPr>
        <xdr:cNvPr id="13" name="Picture 12">
          <a:extLst>
            <a:ext uri="{FF2B5EF4-FFF2-40B4-BE49-F238E27FC236}">
              <a16:creationId xmlns:a16="http://schemas.microsoft.com/office/drawing/2014/main" id="{3DC5936D-FA4D-46EE-AD29-D529B3C4037E}"/>
            </a:ext>
          </a:extLst>
        </xdr:cNvPr>
        <xdr:cNvPicPr>
          <a:picLocks noChangeAspect="1"/>
        </xdr:cNvPicPr>
      </xdr:nvPicPr>
      <xdr:blipFill>
        <a:blip xmlns:r="http://schemas.openxmlformats.org/officeDocument/2006/relationships" r:embed="rId2"/>
        <a:stretch>
          <a:fillRect/>
        </a:stretch>
      </xdr:blipFill>
      <xdr:spPr>
        <a:xfrm>
          <a:off x="45431" y="50338"/>
          <a:ext cx="1026851" cy="384529"/>
        </a:xfrm>
        <a:prstGeom prst="rect">
          <a:avLst/>
        </a:prstGeom>
      </xdr:spPr>
    </xdr:pic>
    <xdr:clientData/>
  </xdr:twoCellAnchor>
  <xdr:twoCellAnchor>
    <xdr:from>
      <xdr:col>6</xdr:col>
      <xdr:colOff>190500</xdr:colOff>
      <xdr:row>30</xdr:row>
      <xdr:rowOff>1385455</xdr:rowOff>
    </xdr:from>
    <xdr:to>
      <xdr:col>7</xdr:col>
      <xdr:colOff>17318</xdr:colOff>
      <xdr:row>30</xdr:row>
      <xdr:rowOff>1688523</xdr:rowOff>
    </xdr:to>
    <xdr:sp macro="" textlink="">
      <xdr:nvSpPr>
        <xdr:cNvPr id="17" name="TextBox 16">
          <a:extLst>
            <a:ext uri="{FF2B5EF4-FFF2-40B4-BE49-F238E27FC236}">
              <a16:creationId xmlns:a16="http://schemas.microsoft.com/office/drawing/2014/main" id="{A0D59438-2CC7-4AC0-BFED-A29485FB55F0}"/>
            </a:ext>
          </a:extLst>
        </xdr:cNvPr>
        <xdr:cNvSpPr txBox="1"/>
      </xdr:nvSpPr>
      <xdr:spPr>
        <a:xfrm>
          <a:off x="7894320" y="13851775"/>
          <a:ext cx="98505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prepopulate  </a:t>
          </a:r>
        </a:p>
        <a:p>
          <a:endParaRPr lang="en-CA" sz="1100"/>
        </a:p>
      </xdr:txBody>
    </xdr:sp>
    <xdr:clientData/>
  </xdr:twoCellAnchor>
  <xdr:twoCellAnchor>
    <xdr:from>
      <xdr:col>8</xdr:col>
      <xdr:colOff>199507</xdr:colOff>
      <xdr:row>37</xdr:row>
      <xdr:rowOff>186862</xdr:rowOff>
    </xdr:from>
    <xdr:to>
      <xdr:col>8</xdr:col>
      <xdr:colOff>1197930</xdr:colOff>
      <xdr:row>38</xdr:row>
      <xdr:rowOff>441613</xdr:rowOff>
    </xdr:to>
    <xdr:sp macro="" textlink="">
      <xdr:nvSpPr>
        <xdr:cNvPr id="18" name="TextBox 17">
          <a:extLst>
            <a:ext uri="{FF2B5EF4-FFF2-40B4-BE49-F238E27FC236}">
              <a16:creationId xmlns:a16="http://schemas.microsoft.com/office/drawing/2014/main" id="{B7C2D58F-F282-42DA-B1B2-BD710BE0757E}"/>
            </a:ext>
          </a:extLst>
        </xdr:cNvPr>
        <xdr:cNvSpPr txBox="1"/>
      </xdr:nvSpPr>
      <xdr:spPr>
        <a:xfrm>
          <a:off x="10227427" y="15990742"/>
          <a:ext cx="998423" cy="44525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a:t>School</a:t>
          </a:r>
          <a:r>
            <a:rPr lang="en-CA" sz="1100" baseline="0"/>
            <a:t> district proxy spend:  </a:t>
          </a:r>
          <a:endParaRPr lang="en-CA" sz="1100"/>
        </a:p>
      </xdr:txBody>
    </xdr:sp>
    <xdr:clientData/>
  </xdr:twoCellAnchor>
  <xdr:twoCellAnchor>
    <xdr:from>
      <xdr:col>7</xdr:col>
      <xdr:colOff>190500</xdr:colOff>
      <xdr:row>30</xdr:row>
      <xdr:rowOff>1385455</xdr:rowOff>
    </xdr:from>
    <xdr:to>
      <xdr:col>8</xdr:col>
      <xdr:colOff>17318</xdr:colOff>
      <xdr:row>30</xdr:row>
      <xdr:rowOff>1688523</xdr:rowOff>
    </xdr:to>
    <xdr:sp macro="" textlink="">
      <xdr:nvSpPr>
        <xdr:cNvPr id="19" name="TextBox 18">
          <a:extLst>
            <a:ext uri="{FF2B5EF4-FFF2-40B4-BE49-F238E27FC236}">
              <a16:creationId xmlns:a16="http://schemas.microsoft.com/office/drawing/2014/main" id="{4B96E4F7-FB87-4343-8F95-39255A0AAF02}"/>
            </a:ext>
          </a:extLst>
        </xdr:cNvPr>
        <xdr:cNvSpPr txBox="1"/>
      </xdr:nvSpPr>
      <xdr:spPr>
        <a:xfrm>
          <a:off x="9052560" y="13851775"/>
          <a:ext cx="99267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prepopulate  </a:t>
          </a:r>
        </a:p>
        <a:p>
          <a:endParaRPr lang="en-CA" sz="1100"/>
        </a:p>
      </xdr:txBody>
    </xdr:sp>
    <xdr:clientData/>
  </xdr:twoCellAnchor>
  <xdr:twoCellAnchor editAs="oneCell">
    <xdr:from>
      <xdr:col>1</xdr:col>
      <xdr:colOff>1479177</xdr:colOff>
      <xdr:row>0</xdr:row>
      <xdr:rowOff>98611</xdr:rowOff>
    </xdr:from>
    <xdr:to>
      <xdr:col>1</xdr:col>
      <xdr:colOff>2590801</xdr:colOff>
      <xdr:row>0</xdr:row>
      <xdr:rowOff>457200</xdr:rowOff>
    </xdr:to>
    <xdr:pic>
      <xdr:nvPicPr>
        <xdr:cNvPr id="20" name="Picture 19" descr="Logo, company name&#10;&#10;Description automatically generated">
          <a:extLst>
            <a:ext uri="{FF2B5EF4-FFF2-40B4-BE49-F238E27FC236}">
              <a16:creationId xmlns:a16="http://schemas.microsoft.com/office/drawing/2014/main" id="{EC3845A2-E548-43E0-A82D-55D0F52A655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9237" y="98611"/>
          <a:ext cx="1111624" cy="3585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9F2ABC-FAAD-42E8-9A1B-73B4161665D1}" name="Table2" displayName="Table2" ref="A1:AJ64" totalsRowCount="1" headerRowDxfId="63">
  <autoFilter ref="A1:AJ63" xr:uid="{EE9F2ABC-FAAD-42E8-9A1B-73B4161665D1}"/>
  <tableColumns count="36">
    <tableColumn id="1" xr3:uid="{9F0C9D21-202B-4835-85D2-572EA53006B0}" name="SD Number"/>
    <tableColumn id="2" xr3:uid="{E0D43A1F-3E79-4DB5-AA31-D391A457C499}" name="School District"/>
    <tableColumn id="3" xr3:uid="{3EE0B5CF-0D26-45A6-BF58-353CA8251663}" name="2023-24 Reported BC Residents Attending School - NOT COLLECTED - REMOVE"/>
    <tableColumn id="4" xr3:uid="{5048750C-A108-4C4C-83F8-9A7EF5179795}" name="2024-25 Reported BC Residents Requiring Transportation" totalsRowFunction="custom">
      <totalsRowFormula>SUM(D30:D60, D3:D29)+D62</totalsRowFormula>
    </tableColumn>
    <tableColumn id="5" xr3:uid="{D57C074C-4B08-46B9-A7CA-CF12D4F1F268}" name="2024-25 Reported Nominal Roll Students Requiring Transportation" totalsRowFunction="custom">
      <totalsRowFormula>SUM(E30:E62, E3:E29)</totalsRowFormula>
    </tableColumn>
    <tableColumn id="6" xr3:uid="{7066F1DD-B967-4501-A520-1005CC9292F6}" name="2023-24 Reported Total Distance Covered Daily by Buses (KM) - NOT COLLECTED - REMOVE" totalsRowFunction="custom">
      <totalsRowFormula>SUM(F30:F60, F2:F28)</totalsRowFormula>
    </tableColumn>
    <tableColumn id="7" xr3:uid="{2423FFB7-DCB4-43F9-8E37-30F6560DA92C}" name="2024-25 First Nation Students living on reserve  Transportation spending _x000a_(school district reported) to June 30, 2025) " totalsRowFunction="custom" dataDxfId="62" totalsRowDxfId="61" dataCellStyle="Currency">
      <totalsRowFormula>SUM(G30:G62, G3:G29)</totalsRowFormula>
    </tableColumn>
    <tableColumn id="8" xr3:uid="{48CC0353-E4D9-4C2D-BB9D-F590922611A9}" name="2024-25 Actual Student Transportation spending_x000a_ (June 30, 2025 audited financial statement)_x000a_(all students)" totalsRowFunction="custom" dataDxfId="60" totalsRowDxfId="59" dataCellStyle="Currency">
      <totalsRowFormula>SUM(H3:H62)</totalsRowFormula>
    </tableColumn>
    <tableColumn id="15" xr3:uid="{31822519-650C-484E-9DEE-E3C0D6EFD91F}" name="2025-26 Revenue (and sources) for all operational costs  _x000a_For information_x000a_(Table 2A operating grant manual (Dec re-calc based on Sept 1701)" dataDxfId="58" totalsRowDxfId="57" dataCellStyle="Currency"/>
    <tableColumn id="16" xr3:uid="{81F936C1-9AD6-49BB-A9CE-A9B499EFC3A1}" name="2025-26 Student Transportation Fund" dataDxfId="56" totalsRowDxfId="55" dataCellStyle="Currency"/>
    <tableColumn id="17" xr3:uid="{224EBF56-3AFA-4396-84A9-D14FA4EFC687}" name="2025-26 Student Location Factor" dataDxfId="54" totalsRowDxfId="53" dataCellStyle="Currency"/>
    <tableColumn id="18" xr3:uid="{CA19FD18-9D37-4930-9E48-F884B4FBFDFA}" name="2025-26 Supplemental_x000a_Student Location_x000a_Factor Funding" dataDxfId="52" totalsRowDxfId="51" dataCellStyle="Currency"/>
    <tableColumn id="25" xr3:uid="{2D81000A-87E9-4483-A128-07B7277BF627}" name="2024-25 Amended budget_x000a_Student Transportation to Jun 30, 2025 as of Feb 28, 2025_x000a_(all students) - WILL NEED TO BE PRE-POPULATED AT LATER DATE" dataDxfId="50" totalsRowDxfId="49" dataCellStyle="Currency"/>
    <tableColumn id="9" xr3:uid="{95B7D13E-496D-4D95-A4FF-3C691FD09067}" name="2024-25 BCTEA To/from Carryover" totalsRowFunction="custom" dataDxfId="48" totalsRowDxfId="47" dataCellStyle="Currency">
      <totalsRowFormula>SUM(N3:N62)</totalsRowFormula>
    </tableColumn>
    <tableColumn id="10" xr3:uid="{2D5C6525-4CBC-440D-B9DA-E9A0CE83AA2C}" name="2024-25 BCTEA EX Carryover - REMAINING AFTER REPURPOSING" totalsRowFunction="custom" dataDxfId="46" totalsRowDxfId="45">
      <calculatedColumnFormula>Table2[[#This Row],[2023-24 BCTEA Extracurricular Carryover prior to repurposing (confimred amount)]]-(Table2[[#This Row],[2023-24 Carryover Extracurricular repurposed repurposed for to/from]]+Table2[[#This Row],[2023-24 Carryover Extracurricular repurposed repurposed for Extracurricular]])</calculatedColumnFormula>
      <totalsRowFormula>SUM(O3:O62)</totalsRowFormula>
    </tableColumn>
    <tableColumn id="11" xr3:uid="{7024D950-9A14-448D-A6C7-69A5036250D0}" name="2024-25 BCTEA Shelter Carryover  - REMAINING AFTER REPURPOSING" dataDxfId="44" totalsRowDxfId="43"/>
    <tableColumn id="35" xr3:uid="{BEC36E0D-44EA-484C-85D7-3F7AB753C94A}" name="Total carryover (AFTER REPURPOSING)" dataDxfId="42" totalsRowDxfId="41">
      <calculatedColumnFormula>Table2[[#This Row],[2024-25 BCTEA To/from Carryover]]+Table2[[#This Row],[2024-25 BCTEA EX Carryover - REMAINING AFTER REPURPOSING]]</calculatedColumnFormula>
    </tableColumn>
    <tableColumn id="12" xr3:uid="{EC8223F6-FEF4-4334-B28E-36028192589C}" name="2025-26 BCTEA Approved" dataDxfId="40" totalsRowDxfId="39"/>
    <tableColumn id="32" xr3:uid="{6A57854C-8A2F-4B8D-9DAB-87FADE4B43B5}" name="2024-25 To/From after to/from C/O applied" dataDxfId="38" totalsRowDxfId="37">
      <calculatedColumnFormula>Table2[[#This Row],[2025-26 BCTEA Approved]]-Table2[[#This Row],[2024-25 BCTEA To/from Carryover]]</calculatedColumnFormula>
    </tableColumn>
    <tableColumn id="13" xr3:uid="{B61DCECD-E7DB-4A3C-B1D5-BD9258E637EC}" name="2025-26 EX Allocation" totalsRowFunction="custom" dataDxfId="36" totalsRowDxfId="35">
      <totalsRowFormula>SUM(T3:T62)</totalsRowFormula>
    </tableColumn>
    <tableColumn id="14" xr3:uid="{68CAE2A6-6BC5-4EDA-BFAF-F15F23141110}" name="2024-25 CDS Payment" totalsRowFunction="custom" dataDxfId="34" totalsRowDxfId="33">
      <totalsRowFormula>SUM(U3:U62)</totalsRowFormula>
    </tableColumn>
    <tableColumn id="30" xr3:uid="{533D1D4C-0CC5-4E51-A820-D2546F52D04B}" name="Part of 2024-25 CDS Payment that is To/From" dataDxfId="32" totalsRowDxfId="31">
      <calculatedColumnFormula>Table2[[#This Row],[2024-25 CDS Payment]]-Table2[[#This Row],[2023-24 Carryover Extracurricular repurposed repurposed for to/from]]</calculatedColumnFormula>
    </tableColumn>
    <tableColumn id="29" xr3:uid="{C04A3C32-E716-4FEE-BEEE-B610FC835DBB}" name="Part of 2024-25 CDS Payment that is Extracurricular" dataDxfId="30" totalsRowDxfId="29">
      <calculatedColumnFormula>ROUND((Table2[[#This Row],[2024-25 CDS Payment]]-Table2[[#This Row],[TO/FROM cds - FOR REF. DNU]]),0)-1</calculatedColumnFormula>
    </tableColumn>
    <tableColumn id="33" xr3:uid="{2D22767E-8F76-462C-AE9A-B488924BE1E8}" name="CHECKING BALANCE" dataDxfId="28" totalsRowDxfId="27">
      <calculatedColumnFormula>SUM(Table2[[#This Row],[Part of 2024-25 CDS Payment that is To/From]:[Part of 2024-25 CDS Payment that is Extracurricular]])-Table2[[#This Row],[2024-25 CDS Payment]]</calculatedColumnFormula>
    </tableColumn>
    <tableColumn id="27" xr3:uid="{CDBD81E4-D1AD-4B1E-B210-43E7EABC4819}" name="2023-24 BCTEA Extracurricular Carryover prior to repurposing (confimred amount)" dataDxfId="26" totalsRowDxfId="25"/>
    <tableColumn id="28" xr3:uid="{EAB1D1B7-BAC2-4A49-BBC5-0663F6C2C091}" name="2023-24 Carryover Extracurricular repurposed repurposed for to/from" dataDxfId="24" totalsRowDxfId="23"/>
    <tableColumn id="31" xr3:uid="{B015BA85-7EAA-49A7-B1C9-B83972D14C94}" name="2023-24 Carryover Extracurricular repurposed repurposed for Extracurricular" dataDxfId="22" totalsRowDxfId="21"/>
    <tableColumn id="26" xr3:uid="{14DC125A-CE83-4653-8303-F3309ABF8AFC}" name="Total EX Funds Available for 2024-2025" dataDxfId="20" totalsRowDxfId="19">
      <calculatedColumnFormula>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calculatedColumnFormula>
    </tableColumn>
    <tableColumn id="34" xr3:uid="{471CC2E8-EF0F-4EB3-977E-76F733A6AE70}" name="ex Repurposed to TO/FROM - FOR REF. DNU" dataDxfId="18" totalsRowDxfId="17"/>
    <tableColumn id="19" xr3:uid="{47FE7D07-19BC-4BE1-A8C7-9AE59B524368}" name="TO/FROM cds - FOR REF. DNU" dataDxfId="16" totalsRowDxfId="15">
      <calculatedColumnFormula>ROUND(IF(Table2[[#This Row],[2025-26 BCTEA Approved]]-Table2[[#This Row],[2024-25 BCTEA To/from Carryover]]-Table2[[#This Row],[ex Repurposed to TO/FROM - FOR REF. DNU]]&gt;0,Table2[[#This Row],[2025-26 BCTEA Approved]]-Table2[[#This Row],[2024-25 BCTEA To/from Carryover]]-Table2[[#This Row],[ex Repurposed to TO/FROM - FOR REF. DNU]], "$0"),0)</calculatedColumnFormula>
    </tableColumn>
    <tableColumn id="20" xr3:uid="{BCB8D8F5-D3B2-4E31-8585-1E1F869E1099}" name="Student Count as per 2022-23 Nominal Roll" dataDxfId="14" totalsRowDxfId="13"/>
    <tableColumn id="21" xr3:uid="{5D3B8994-282B-46DA-AA8B-B4F1620A6F48}" name="2025-26 FN_STF" dataDxfId="12" totalsRowDxfId="11">
      <calculatedColumnFormula>ROUND(AE2/$B2,0)</calculatedColumnFormula>
    </tableColumn>
    <tableColumn id="22" xr3:uid="{29E80CFA-4607-4051-BD35-139F01CFBB7B}" name="2025-26 FN_SLF" dataDxfId="10" totalsRowDxfId="9"/>
    <tableColumn id="23" xr3:uid="{92CFACFB-A034-41CE-9A81-B7F5B708715C}" name="2025-26 FN_SSLF" dataDxfId="8" totalsRowDxfId="7"/>
    <tableColumn id="24" xr3:uid="{6539D41A-7033-47AA-A03F-0C0F1FFCA1C4}" name="2025-26 FN_SR" dataDxfId="6" totalsRowDxfId="5">
      <calculatedColumnFormula>SUM(Table2[[#This Row],[2025-26 FN_STF]:[2025-26 FN_SSLF]])</calculatedColumnFormula>
    </tableColumn>
    <tableColumn id="36" xr3:uid="{A3DF68B3-44AC-466B-A7D6-FB4C1D3B25BF}" name="Proxy" dataDxfId="4">
      <calculatedColumnFormula>Table2[[#This Row],[2025-26 FN_SR]]*Table2[[#This Row],[Student Count as per 2022-23 Nominal Roll]]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2.gov.bc.ca/assets/gov/education/administration/resource-management/k12funding/21-22/21-22-operating-grants-manual.pdf" TargetMode="External"/><Relationship Id="rId7" Type="http://schemas.openxmlformats.org/officeDocument/2006/relationships/vmlDrawing" Target="../drawings/vmlDrawing1.vml"/><Relationship Id="rId2" Type="http://schemas.openxmlformats.org/officeDocument/2006/relationships/hyperlink" Target="https://www2.gov.bc.ca/gov/content/education-training/k-12/administration/financial-management/k-12-funding-and-allocation/operating-grants/k12funding-25-26" TargetMode="External"/><Relationship Id="rId1" Type="http://schemas.openxmlformats.org/officeDocument/2006/relationships/hyperlink" Target="https:/www2.gov.bc.ca/assets/gov/education/administration/resource-management/k12funding/25-26/25-26-operating-grants-manual-march-2025.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2.gov.bc.ca/assets/gov/education/administration/resource-management/k12funding/25-26/25-26-operating-grants-manual-march-202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2.gov.bc.ca/assets/gov/education/administration/resource-management/k12funding/21-22/21-22-operating-grants-manual.pdf" TargetMode="External"/><Relationship Id="rId2" Type="http://schemas.openxmlformats.org/officeDocument/2006/relationships/hyperlink" Target="https://www2.gov.bc.ca/gov/content/education-training/k-12/administration/resource-management/k-12-funding-and-allocation/operating-grants/k12funding-22-23" TargetMode="External"/><Relationship Id="rId1" Type="http://schemas.openxmlformats.org/officeDocument/2006/relationships/hyperlink" Target="https://www2.gov.bc.ca/assets/gov/education/administration/resource-management/k12funding/22-23/22-23-operating-grants-manual.pdf"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2.gov.bc.ca/assets/gov/education/administration/resource-management/k12funding/23-24/23-24-operating-grants-manual.pdf"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2.gov.bc.ca/assets/gov/education/administration/resource-management/k12funding/21-22/21-22-operating-grants-manual.pdf" TargetMode="External"/><Relationship Id="rId7" Type="http://schemas.openxmlformats.org/officeDocument/2006/relationships/vmlDrawing" Target="../drawings/vmlDrawing2.vml"/><Relationship Id="rId2" Type="http://schemas.openxmlformats.org/officeDocument/2006/relationships/hyperlink" Target="https://www2.gov.bc.ca/gov/content/education-training/k-12/administration/resource-management/k-12-funding-and-allocation/operating-grants/k12funding-22-23" TargetMode="External"/><Relationship Id="rId1" Type="http://schemas.openxmlformats.org/officeDocument/2006/relationships/hyperlink" Target="https://www2.gov.bc.ca/assets/gov/education/administration/resource-management/k12funding/22-23/22-23-operating-grants-manual.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2.gov.bc.ca/assets/gov/education/administration/resource-management/k12funding/23-24/23-24-operating-grants-manual.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E752E-2CEE-4918-88DB-9DA26AEB4E1F}">
  <dimension ref="A1:E25"/>
  <sheetViews>
    <sheetView showGridLines="0" workbookViewId="0">
      <selection sqref="A1:C1"/>
    </sheetView>
  </sheetViews>
  <sheetFormatPr defaultRowHeight="14.4" x14ac:dyDescent="0.3"/>
  <cols>
    <col min="1" max="1" width="35.6640625" customWidth="1"/>
    <col min="2" max="2" width="36.6640625" style="4" customWidth="1"/>
    <col min="3" max="3" width="17" customWidth="1"/>
  </cols>
  <sheetData>
    <row r="1" spans="1:5" ht="49.95" customHeight="1" thickBot="1" x14ac:dyDescent="0.5">
      <c r="A1" s="187" t="s">
        <v>0</v>
      </c>
      <c r="B1" s="188"/>
      <c r="C1" s="189"/>
    </row>
    <row r="2" spans="1:5" ht="60.6" customHeight="1" thickBot="1" x14ac:dyDescent="0.35">
      <c r="A2" s="184" t="s">
        <v>1</v>
      </c>
      <c r="B2" s="185"/>
      <c r="C2" s="186"/>
    </row>
    <row r="3" spans="1:5" ht="17.7" customHeight="1" thickBot="1" x14ac:dyDescent="0.35">
      <c r="A3" s="61"/>
      <c r="B3" s="61"/>
      <c r="E3" s="83"/>
    </row>
    <row r="4" spans="1:5" ht="37.950000000000003" customHeight="1" thickBot="1" x14ac:dyDescent="0.35">
      <c r="A4" s="80"/>
      <c r="B4" s="81"/>
      <c r="C4" s="82"/>
    </row>
    <row r="5" spans="1:5" ht="30" customHeight="1" thickBot="1" x14ac:dyDescent="0.35">
      <c r="A5" s="86" t="s">
        <v>2</v>
      </c>
      <c r="B5" s="85" t="s">
        <v>3</v>
      </c>
      <c r="C5" s="87" t="s">
        <v>4</v>
      </c>
    </row>
    <row r="7" spans="1:5" ht="15" thickBot="1" x14ac:dyDescent="0.35"/>
    <row r="8" spans="1:5" ht="42.6" customHeight="1" thickBot="1" x14ac:dyDescent="0.35">
      <c r="A8" s="80"/>
      <c r="B8" s="81"/>
      <c r="C8" s="82"/>
    </row>
    <row r="9" spans="1:5" ht="34.950000000000003" customHeight="1" thickBot="1" x14ac:dyDescent="0.35">
      <c r="A9" s="86" t="s">
        <v>5</v>
      </c>
      <c r="B9" s="85" t="s">
        <v>6</v>
      </c>
      <c r="C9" s="87" t="s">
        <v>4</v>
      </c>
    </row>
    <row r="11" spans="1:5" ht="15" thickBot="1" x14ac:dyDescent="0.35"/>
    <row r="12" spans="1:5" ht="42.6" customHeight="1" thickBot="1" x14ac:dyDescent="0.35">
      <c r="A12" s="80"/>
      <c r="B12" s="81"/>
      <c r="C12" s="82"/>
    </row>
    <row r="13" spans="1:5" ht="31.8" thickBot="1" x14ac:dyDescent="0.35">
      <c r="A13" s="86" t="s">
        <v>5</v>
      </c>
      <c r="B13" s="85" t="s">
        <v>6</v>
      </c>
      <c r="C13" s="87" t="s">
        <v>4</v>
      </c>
    </row>
    <row r="15" spans="1:5" ht="15" thickBot="1" x14ac:dyDescent="0.35"/>
    <row r="16" spans="1:5" ht="42.6" customHeight="1" thickBot="1" x14ac:dyDescent="0.35">
      <c r="A16" s="80"/>
      <c r="B16" s="81"/>
      <c r="C16" s="82"/>
    </row>
    <row r="17" spans="1:3" ht="31.8" thickBot="1" x14ac:dyDescent="0.35">
      <c r="A17" s="86" t="s">
        <v>5</v>
      </c>
      <c r="B17" s="85" t="s">
        <v>6</v>
      </c>
      <c r="C17" s="87" t="s">
        <v>4</v>
      </c>
    </row>
    <row r="19" spans="1:3" ht="15" thickBot="1" x14ac:dyDescent="0.35"/>
    <row r="20" spans="1:3" ht="42.6" customHeight="1" thickBot="1" x14ac:dyDescent="0.35">
      <c r="A20" s="80"/>
      <c r="B20" s="81"/>
      <c r="C20" s="82"/>
    </row>
    <row r="21" spans="1:3" ht="31.8" thickBot="1" x14ac:dyDescent="0.35">
      <c r="A21" s="86" t="s">
        <v>5</v>
      </c>
      <c r="B21" s="85" t="s">
        <v>6</v>
      </c>
      <c r="C21" s="87" t="s">
        <v>4</v>
      </c>
    </row>
    <row r="23" spans="1:3" ht="15" thickBot="1" x14ac:dyDescent="0.35"/>
    <row r="24" spans="1:3" ht="42.6" customHeight="1" thickBot="1" x14ac:dyDescent="0.35">
      <c r="A24" s="80"/>
      <c r="B24" s="81"/>
      <c r="C24" s="82"/>
    </row>
    <row r="25" spans="1:3" ht="31.8" thickBot="1" x14ac:dyDescent="0.35">
      <c r="A25" s="86" t="s">
        <v>5</v>
      </c>
      <c r="B25" s="85" t="s">
        <v>6</v>
      </c>
      <c r="C25" s="87" t="s">
        <v>4</v>
      </c>
    </row>
  </sheetData>
  <mergeCells count="2">
    <mergeCell ref="A2:C2"/>
    <mergeCell ref="A1:C1"/>
  </mergeCells>
  <pageMargins left="0.11811023622047245" right="0.11811023622047245" top="0.35433070866141736" bottom="0.15748031496062992" header="0.31496062992125984" footer="0.11811023622047245"/>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6953-BCD9-49F7-9749-F4D90B94EDD6}">
  <dimension ref="A1:K29"/>
  <sheetViews>
    <sheetView showGridLines="0" tabSelected="1" zoomScale="90" zoomScaleNormal="90" workbookViewId="0">
      <selection activeCell="G26" sqref="G26"/>
    </sheetView>
  </sheetViews>
  <sheetFormatPr defaultColWidth="9.33203125" defaultRowHeight="14.4" x14ac:dyDescent="0.3"/>
  <cols>
    <col min="1" max="1" width="7" style="236" customWidth="1"/>
    <col min="2" max="2" width="55.6640625" style="236" customWidth="1"/>
    <col min="3" max="3" width="15.33203125" style="53" customWidth="1"/>
    <col min="4" max="4" width="19.33203125" style="53" customWidth="1"/>
    <col min="5" max="6" width="17.6640625" style="53" customWidth="1"/>
    <col min="7" max="7" width="17.88671875" style="236" customWidth="1"/>
    <col min="8" max="8" width="19.44140625" style="236" customWidth="1"/>
    <col min="9" max="9" width="45" style="236" customWidth="1"/>
    <col min="10" max="10" width="78.44140625" style="236" customWidth="1"/>
    <col min="11" max="11" width="18.33203125" style="236" customWidth="1"/>
    <col min="12" max="16384" width="9.33203125" style="236"/>
  </cols>
  <sheetData>
    <row r="1" spans="1:11" ht="43.2" customHeight="1" x14ac:dyDescent="0.3">
      <c r="A1" s="232"/>
      <c r="B1" s="233"/>
      <c r="C1" s="176" t="s">
        <v>7</v>
      </c>
      <c r="D1" s="177"/>
      <c r="E1" s="177"/>
      <c r="F1" s="177"/>
      <c r="G1" s="177"/>
      <c r="H1" s="178"/>
      <c r="I1" s="234"/>
      <c r="J1" s="235"/>
    </row>
    <row r="2" spans="1:11" ht="46.2" customHeight="1" x14ac:dyDescent="0.3">
      <c r="A2" s="237"/>
      <c r="B2" s="238" t="s">
        <v>8</v>
      </c>
      <c r="C2" s="239"/>
      <c r="D2" s="164"/>
      <c r="E2" s="241" t="str">
        <f>IFERROR(INDEX(Table2[School District], MATCH($D$2,Table2[SD Number], 0)), "Please select school district number.")</f>
        <v>Please select school district number.</v>
      </c>
      <c r="F2" s="165"/>
      <c r="G2" s="242"/>
      <c r="H2" s="243"/>
      <c r="I2" s="234"/>
      <c r="J2" s="235"/>
    </row>
    <row r="3" spans="1:11" ht="17.399999999999999" customHeight="1" x14ac:dyDescent="0.3">
      <c r="A3" s="237"/>
      <c r="B3" s="244" t="s">
        <v>9</v>
      </c>
      <c r="C3" s="245"/>
      <c r="D3" s="246"/>
      <c r="E3" s="247"/>
      <c r="F3" s="166"/>
      <c r="G3" s="242"/>
      <c r="H3" s="243"/>
      <c r="I3" s="234"/>
      <c r="J3" s="235"/>
    </row>
    <row r="4" spans="1:11" ht="37.200000000000003" customHeight="1" x14ac:dyDescent="0.3">
      <c r="A4" s="248"/>
      <c r="B4" s="249" t="s">
        <v>10</v>
      </c>
      <c r="C4" s="250"/>
      <c r="D4" s="150"/>
      <c r="E4" s="252"/>
      <c r="F4" s="167"/>
      <c r="G4" s="253"/>
      <c r="H4" s="243"/>
      <c r="I4" s="234"/>
      <c r="J4" s="235"/>
    </row>
    <row r="5" spans="1:11" ht="37.200000000000003" customHeight="1" x14ac:dyDescent="0.3">
      <c r="A5" s="248"/>
      <c r="B5" s="254" t="s">
        <v>11</v>
      </c>
      <c r="C5" s="255"/>
      <c r="D5" s="168"/>
      <c r="E5" s="252"/>
      <c r="F5" s="167"/>
      <c r="G5" s="253"/>
      <c r="H5" s="243"/>
      <c r="I5" s="234"/>
      <c r="J5" s="235"/>
    </row>
    <row r="6" spans="1:11" ht="25.5" customHeight="1" x14ac:dyDescent="0.3">
      <c r="A6" s="248"/>
      <c r="B6" s="257"/>
      <c r="C6" s="258"/>
      <c r="D6" s="259" t="s">
        <v>12</v>
      </c>
      <c r="E6" s="260"/>
      <c r="F6" s="260"/>
      <c r="G6" s="260"/>
      <c r="H6" s="261"/>
      <c r="I6" s="234"/>
      <c r="J6" s="235"/>
    </row>
    <row r="7" spans="1:11" ht="18" customHeight="1" x14ac:dyDescent="0.3">
      <c r="A7" s="262" t="s">
        <v>13</v>
      </c>
      <c r="B7" s="263"/>
      <c r="C7" s="263"/>
      <c r="D7" s="263"/>
      <c r="E7" s="263"/>
      <c r="F7" s="263"/>
      <c r="G7" s="263"/>
      <c r="H7" s="264"/>
      <c r="J7" s="265"/>
    </row>
    <row r="8" spans="1:11" ht="136.80000000000001" customHeight="1" x14ac:dyDescent="0.3">
      <c r="A8" s="266" t="s">
        <v>14</v>
      </c>
      <c r="B8" s="267"/>
      <c r="C8" s="179"/>
      <c r="D8" s="180"/>
      <c r="E8" s="180"/>
      <c r="F8" s="180"/>
      <c r="G8" s="180"/>
      <c r="H8" s="181"/>
      <c r="I8" s="271"/>
    </row>
    <row r="9" spans="1:11" ht="67.95" customHeight="1" x14ac:dyDescent="0.3">
      <c r="A9" s="272" t="s">
        <v>15</v>
      </c>
      <c r="B9" s="273"/>
      <c r="C9" s="179"/>
      <c r="D9" s="180"/>
      <c r="E9" s="180"/>
      <c r="F9" s="180"/>
      <c r="G9" s="180"/>
      <c r="H9" s="181"/>
      <c r="I9" s="274"/>
    </row>
    <row r="10" spans="1:11" ht="106.95" customHeight="1" x14ac:dyDescent="0.3">
      <c r="A10" s="275" t="s">
        <v>16</v>
      </c>
      <c r="B10" s="276"/>
      <c r="C10" s="179"/>
      <c r="D10" s="180"/>
      <c r="E10" s="180"/>
      <c r="F10" s="180"/>
      <c r="G10" s="180"/>
      <c r="H10" s="181"/>
      <c r="I10" s="235"/>
      <c r="J10" s="235"/>
    </row>
    <row r="11" spans="1:11" ht="88.95" customHeight="1" x14ac:dyDescent="0.3">
      <c r="A11" s="277" t="s">
        <v>17</v>
      </c>
      <c r="B11" s="278"/>
      <c r="C11" s="179"/>
      <c r="D11" s="180"/>
      <c r="E11" s="180"/>
      <c r="F11" s="180"/>
      <c r="G11" s="180"/>
      <c r="H11" s="181"/>
    </row>
    <row r="12" spans="1:11" ht="15" customHeight="1" x14ac:dyDescent="0.3">
      <c r="A12" s="279" t="s">
        <v>18</v>
      </c>
      <c r="B12" s="280"/>
      <c r="C12" s="280"/>
      <c r="D12" s="280"/>
      <c r="E12" s="280"/>
      <c r="F12" s="280"/>
      <c r="G12" s="280"/>
      <c r="H12" s="281"/>
    </row>
    <row r="13" spans="1:11" ht="69.599999999999994" customHeight="1" x14ac:dyDescent="0.3">
      <c r="A13" s="282" t="s">
        <v>19</v>
      </c>
      <c r="B13" s="283"/>
      <c r="C13" s="283"/>
      <c r="D13" s="283"/>
      <c r="E13" s="283"/>
      <c r="F13" s="284"/>
      <c r="G13" s="284"/>
      <c r="H13" s="285"/>
      <c r="I13" s="286"/>
      <c r="J13" s="287" t="s">
        <v>20</v>
      </c>
      <c r="K13" s="288" t="s">
        <v>20</v>
      </c>
    </row>
    <row r="14" spans="1:11" ht="35.700000000000003" customHeight="1" x14ac:dyDescent="0.3">
      <c r="A14" s="289"/>
      <c r="B14" s="290" t="s">
        <v>21</v>
      </c>
      <c r="C14" s="290"/>
      <c r="D14" s="290"/>
      <c r="E14" s="290"/>
      <c r="F14" s="290"/>
      <c r="G14" s="291" t="str">
        <f>IFERROR(INDEX(Table2[Proxy], MATCH(D2,Table2[SD Number], 0)), "Select SD# Above")</f>
        <v>Select SD# Above</v>
      </c>
      <c r="H14" s="292" t="s">
        <v>20</v>
      </c>
      <c r="I14" s="286" t="s">
        <v>20</v>
      </c>
      <c r="J14" s="287"/>
      <c r="K14" s="288"/>
    </row>
    <row r="15" spans="1:11" ht="16.2" customHeight="1" x14ac:dyDescent="0.3">
      <c r="A15" s="293" t="s">
        <v>22</v>
      </c>
      <c r="B15" s="294"/>
      <c r="C15" s="294"/>
      <c r="D15" s="294"/>
      <c r="E15" s="294"/>
      <c r="F15" s="294"/>
      <c r="G15" s="294"/>
      <c r="H15" s="295"/>
      <c r="I15" s="286"/>
      <c r="J15" s="287"/>
      <c r="K15" s="288"/>
    </row>
    <row r="16" spans="1:11" ht="161.69999999999999" customHeight="1" x14ac:dyDescent="0.3">
      <c r="A16" s="296" t="s">
        <v>23</v>
      </c>
      <c r="B16" s="297"/>
      <c r="C16" s="298"/>
      <c r="D16" s="299" t="s">
        <v>24</v>
      </c>
      <c r="E16" s="299" t="s">
        <v>25</v>
      </c>
      <c r="F16" s="299" t="s">
        <v>26</v>
      </c>
      <c r="G16" s="299" t="s">
        <v>27</v>
      </c>
      <c r="H16" s="300" t="s">
        <v>28</v>
      </c>
      <c r="I16" s="234"/>
      <c r="K16" s="288"/>
    </row>
    <row r="17" spans="1:11" ht="19.5" customHeight="1" x14ac:dyDescent="0.3">
      <c r="A17" s="289"/>
      <c r="B17" s="301" t="s">
        <v>29</v>
      </c>
      <c r="C17" s="169"/>
      <c r="D17" s="169"/>
      <c r="E17" s="169"/>
      <c r="F17" s="169"/>
      <c r="G17" s="169"/>
      <c r="H17" s="302"/>
      <c r="K17" s="303" t="s">
        <v>20</v>
      </c>
    </row>
    <row r="18" spans="1:11" ht="27" customHeight="1" x14ac:dyDescent="0.3">
      <c r="A18" s="289"/>
      <c r="B18" s="354" t="s">
        <v>30</v>
      </c>
      <c r="C18" s="142"/>
      <c r="D18" s="305" t="str">
        <f>IFERROR(INDEX(Table2[2025-26 Revenue (and sources) for all operational costs  
For information
(Table 2A operating grant manual (Dec re-calc based on Sept 1701)], MATCH(D2,Table2[SD Number], 0)), "Select SD# Above")</f>
        <v>Select SD# Above</v>
      </c>
      <c r="E18" s="306" t="str">
        <f>IFERROR(INDEX(Table2[2024-25 Actual Student Transportation spending
 (June 30, 2025 audited financial statement)
(all students)], MATCH(D2,Table2[SD Number], 0)), "Select SD# Above")</f>
        <v>Select SD# Above</v>
      </c>
      <c r="F18" s="306" t="str">
        <f>IFERROR(INDEX(Table2[2024-25 First Nation Students living on reserve  Transportation spending 
(school district reported) to June 30, 2025) ], MATCH(D2,Table2[SD Number], 0)), "Select SD# Above")</f>
        <v>Select SD# Above</v>
      </c>
      <c r="G18" s="306"/>
      <c r="H18" s="307"/>
      <c r="I18" s="308"/>
      <c r="J18" s="308"/>
      <c r="K18" s="303" t="s">
        <v>20</v>
      </c>
    </row>
    <row r="19" spans="1:11" ht="30.75" customHeight="1" x14ac:dyDescent="0.3">
      <c r="A19" s="289"/>
      <c r="B19" s="309" t="s">
        <v>31</v>
      </c>
      <c r="C19" s="142"/>
      <c r="D19" s="142"/>
      <c r="E19" s="305"/>
      <c r="F19" s="305"/>
      <c r="G19" s="305"/>
      <c r="H19" s="310"/>
      <c r="I19" s="308"/>
      <c r="J19" s="308"/>
      <c r="K19" s="303" t="s">
        <v>20</v>
      </c>
    </row>
    <row r="20" spans="1:11" ht="20.25" customHeight="1" x14ac:dyDescent="0.3">
      <c r="A20" s="289"/>
      <c r="B20" s="355" t="s">
        <v>32</v>
      </c>
      <c r="C20" s="355"/>
      <c r="D20" s="312" t="str">
        <f>IFERROR(INDEX(Table2[2025-26 Student Location Factor], MATCH(D2,Table2[SD Number], 0)), "Select SD# Above")</f>
        <v>Select SD# Above</v>
      </c>
      <c r="E20" s="305"/>
      <c r="F20" s="305"/>
      <c r="G20" s="305"/>
      <c r="H20" s="310"/>
      <c r="I20" s="236" t="s">
        <v>20</v>
      </c>
      <c r="K20" s="303"/>
    </row>
    <row r="21" spans="1:11" ht="18.75" customHeight="1" x14ac:dyDescent="0.3">
      <c r="A21" s="289"/>
      <c r="B21" s="356" t="s">
        <v>33</v>
      </c>
      <c r="C21" s="314"/>
      <c r="D21" s="312" t="str">
        <f>IFERROR(INDEX(Table2[2025-26 Supplemental
Student Location
Factor Funding], MATCH(D2,Table2[SD Number], 0)), "Select SD# Above")</f>
        <v>Select SD# Above</v>
      </c>
      <c r="E21" s="305"/>
      <c r="F21" s="305"/>
      <c r="G21" s="305"/>
      <c r="H21" s="315"/>
      <c r="I21" s="236" t="s">
        <v>20</v>
      </c>
      <c r="K21" s="303" t="s">
        <v>20</v>
      </c>
    </row>
    <row r="22" spans="1:11" ht="28.2" customHeight="1" x14ac:dyDescent="0.3">
      <c r="A22" s="289"/>
      <c r="B22" s="316" t="s">
        <v>34</v>
      </c>
      <c r="C22" s="142"/>
      <c r="D22" s="312" t="str">
        <f>IFERROR(INDEX(Table2[2025-26 Student Transportation Fund], MATCH(D2,Table2[SD Number], 0)), "Select SD# Above")</f>
        <v>Select SD# Above</v>
      </c>
      <c r="E22" s="305"/>
      <c r="F22" s="305"/>
      <c r="G22" s="317"/>
      <c r="H22" s="318"/>
      <c r="K22" s="236" t="s">
        <v>20</v>
      </c>
    </row>
    <row r="23" spans="1:11" ht="28.2" customHeight="1" x14ac:dyDescent="0.3">
      <c r="A23" s="289"/>
      <c r="B23" s="319" t="s">
        <v>35</v>
      </c>
      <c r="C23" s="142"/>
      <c r="D23" s="320">
        <f>SUM(D18,D22)</f>
        <v>0</v>
      </c>
      <c r="E23" s="305"/>
      <c r="F23" s="305"/>
      <c r="G23" s="351"/>
      <c r="H23" s="352"/>
      <c r="K23" s="323" t="s">
        <v>20</v>
      </c>
    </row>
    <row r="24" spans="1:11" ht="16.95" customHeight="1" x14ac:dyDescent="0.3">
      <c r="A24" s="324" t="s">
        <v>36</v>
      </c>
      <c r="B24" s="325"/>
      <c r="C24" s="325"/>
      <c r="D24" s="325"/>
      <c r="E24" s="325"/>
      <c r="F24" s="325"/>
      <c r="G24" s="325"/>
      <c r="H24" s="326"/>
    </row>
    <row r="25" spans="1:11" ht="66" customHeight="1" x14ac:dyDescent="0.3">
      <c r="A25" s="327" t="s">
        <v>37</v>
      </c>
      <c r="B25" s="328"/>
      <c r="C25" s="328"/>
      <c r="D25" s="329" t="s">
        <v>38</v>
      </c>
      <c r="E25" s="329" t="s">
        <v>39</v>
      </c>
      <c r="F25" s="329" t="s">
        <v>40</v>
      </c>
      <c r="G25" s="329" t="s">
        <v>41</v>
      </c>
      <c r="H25" s="330" t="s">
        <v>42</v>
      </c>
      <c r="I25" s="323"/>
    </row>
    <row r="26" spans="1:11" ht="37.950000000000003" customHeight="1" x14ac:dyDescent="0.3">
      <c r="A26" s="331"/>
      <c r="B26" s="332" t="s">
        <v>43</v>
      </c>
      <c r="C26" s="332"/>
      <c r="D26" s="333" t="str">
        <f>IFERROR(INDEX(Table2[Total carryover (AFTER REPURPOSING)], MATCH(D2,Table2[SD Number], 0)), "Select SD# Above")</f>
        <v>Select SD# Above</v>
      </c>
      <c r="E26" s="333" t="str">
        <f>IFERROR(INDEX(Table2[2025-26 BCTEA Approved], MATCH(D2,Table2[SD Number], 0)), "Select SD# Above")</f>
        <v>Select SD# Above</v>
      </c>
      <c r="F26" s="333" t="str">
        <f>E26</f>
        <v>Select SD# Above</v>
      </c>
      <c r="G26" s="353"/>
      <c r="H26" s="231" t="str">
        <f>IFERROR((F26-G26)+D26,"-")</f>
        <v>-</v>
      </c>
      <c r="I26" s="323"/>
    </row>
    <row r="27" spans="1:11" ht="15.6" x14ac:dyDescent="0.3">
      <c r="A27" s="335" t="s">
        <v>44</v>
      </c>
      <c r="B27" s="336"/>
      <c r="C27" s="337"/>
      <c r="D27" s="337"/>
      <c r="E27" s="337"/>
      <c r="F27" s="337"/>
      <c r="G27" s="338"/>
      <c r="H27" s="339"/>
    </row>
    <row r="28" spans="1:11" ht="28.95" customHeight="1" x14ac:dyDescent="0.3">
      <c r="A28" s="340" t="s">
        <v>45</v>
      </c>
      <c r="B28" s="341"/>
      <c r="C28" s="342"/>
      <c r="D28" s="342"/>
      <c r="E28" s="343"/>
      <c r="F28" s="343"/>
      <c r="G28" s="343"/>
      <c r="H28" s="344">
        <f>SUM($G$26, $H$23)</f>
        <v>0</v>
      </c>
    </row>
    <row r="29" spans="1:11" ht="14.25" customHeight="1" x14ac:dyDescent="0.3">
      <c r="A29" s="345"/>
      <c r="B29" s="346"/>
      <c r="C29" s="347"/>
      <c r="D29" s="347"/>
      <c r="E29" s="347"/>
      <c r="F29" s="347"/>
      <c r="G29" s="348"/>
      <c r="H29" s="349"/>
      <c r="J29" s="350"/>
      <c r="K29" s="350"/>
    </row>
  </sheetData>
  <sheetProtection algorithmName="SHA-512" hashValue="g9oHXtfJvTQ9DcZHSj+LAtvBUfeWFskyO5UitLz/vEx+EGv0sr854NYJxBVCZTi8azHa/qVDeSYw5EDLe/airQ==" saltValue="D3mQwqyWiY+o50JIW1SDlQ==" spinCount="100000" sheet="1" formatRows="0" selectLockedCells="1"/>
  <protectedRanges>
    <protectedRange sqref="H15 G19:H22 H18" name="Range4"/>
    <protectedRange sqref="A8 C8:G8 A9:G11" name="Range2"/>
    <protectedRange sqref="D2 D4:D5" name="Range1_1"/>
  </protectedRanges>
  <mergeCells count="20">
    <mergeCell ref="B26:C26"/>
    <mergeCell ref="B20:C20"/>
    <mergeCell ref="B2:C2"/>
    <mergeCell ref="B4:C4"/>
    <mergeCell ref="B5:C5"/>
    <mergeCell ref="C8:H8"/>
    <mergeCell ref="A8:B8"/>
    <mergeCell ref="A9:B9"/>
    <mergeCell ref="C9:H9"/>
    <mergeCell ref="A10:B10"/>
    <mergeCell ref="C10:H10"/>
    <mergeCell ref="C1:H1"/>
    <mergeCell ref="J1:J6"/>
    <mergeCell ref="I10:J10"/>
    <mergeCell ref="A25:C25"/>
    <mergeCell ref="B14:F14"/>
    <mergeCell ref="A16:C16"/>
    <mergeCell ref="A13:E13"/>
    <mergeCell ref="C11:H11"/>
    <mergeCell ref="A11:B11"/>
  </mergeCells>
  <conditionalFormatting sqref="G2:G3">
    <cfRule type="cellIs" dxfId="3" priority="1" operator="equal">
      <formula>"ERROR - Please Seect from the drop down menue to the left."</formula>
    </cfRule>
  </conditionalFormatting>
  <dataValidations count="3">
    <dataValidation type="decimal" operator="greaterThanOrEqual" allowBlank="1" showInputMessage="1" showErrorMessage="1" sqref="H15" xr:uid="{89C3A713-4912-4F7E-9A4A-3CDABD90CEDA}">
      <formula1>0</formula1>
    </dataValidation>
    <dataValidation type="whole" operator="greaterThan" allowBlank="1" showInputMessage="1" showErrorMessage="1" sqref="H19:H21" xr:uid="{63CA4F5F-4D01-476A-998A-0A5AEA45E3AC}">
      <formula1>0</formula1>
    </dataValidation>
    <dataValidation type="whole" operator="greaterThanOrEqual" allowBlank="1" showInputMessage="1" showErrorMessage="1" sqref="H22 H18" xr:uid="{DCADAEAF-6F93-4689-8781-84F4EF9C6194}">
      <formula1>0</formula1>
    </dataValidation>
  </dataValidations>
  <hyperlinks>
    <hyperlink ref="B21" r:id="rId1" xr:uid="{74BD4FF9-95AA-4FCB-BA38-EB3BB04483EE}"/>
    <hyperlink ref="B18" r:id="rId2" xr:uid="{72071603-3541-4A58-AE2B-782AD709B0B4}"/>
    <hyperlink ref="B20" r:id="rId3" location="page=14" display=" Student Location Factor (SLF) " xr:uid="{BE6C2B8A-4A71-4322-BCFF-ACC6648CE9C7}"/>
    <hyperlink ref="B20:C20" r:id="rId4" display=" Student Location Factor (SLF)" xr:uid="{1409E4E9-A3E2-4E8E-97D8-575924070E6E}"/>
  </hyperlinks>
  <printOptions horizontalCentered="1"/>
  <pageMargins left="0" right="0" top="0.59055118110236227" bottom="0.59055118110236227" header="0" footer="0"/>
  <pageSetup scale="57" orientation="portrait" r:id="rId5"/>
  <rowBreaks count="1" manualBreakCount="1">
    <brk id="15" max="7" man="1"/>
  </rowBreak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DD71DA55-1F24-45A8-82C2-F44E21787604}">
          <x14:formula1>
            <xm:f>'Auto Populate Table'!$A$2:$A$62</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03E1-FDED-4F5B-8D80-093C0252AE40}">
  <dimension ref="A1:K29"/>
  <sheetViews>
    <sheetView showGridLines="0" zoomScale="90" zoomScaleNormal="90" workbookViewId="0">
      <selection activeCell="C8" sqref="C8:H8"/>
    </sheetView>
  </sheetViews>
  <sheetFormatPr defaultColWidth="9.33203125" defaultRowHeight="14.4" x14ac:dyDescent="0.3"/>
  <cols>
    <col min="1" max="1" width="7" style="236" customWidth="1"/>
    <col min="2" max="2" width="55.6640625" style="236" customWidth="1"/>
    <col min="3" max="3" width="15.33203125" style="53" customWidth="1"/>
    <col min="4" max="4" width="19.33203125" style="53" customWidth="1"/>
    <col min="5" max="6" width="17.6640625" style="53" customWidth="1"/>
    <col min="7" max="7" width="17.88671875" style="236" customWidth="1"/>
    <col min="8" max="8" width="19.44140625" style="236" customWidth="1"/>
    <col min="9" max="9" width="45" style="236" customWidth="1"/>
    <col min="10" max="10" width="78.44140625" style="236" customWidth="1"/>
    <col min="11" max="11" width="18.33203125" style="236" customWidth="1"/>
    <col min="12" max="16384" width="9.33203125" style="236"/>
  </cols>
  <sheetData>
    <row r="1" spans="1:11" ht="43.2" customHeight="1" x14ac:dyDescent="0.3">
      <c r="A1" s="232"/>
      <c r="B1" s="233"/>
      <c r="C1" s="176" t="s">
        <v>7</v>
      </c>
      <c r="D1" s="177"/>
      <c r="E1" s="177"/>
      <c r="F1" s="177"/>
      <c r="G1" s="177"/>
      <c r="H1" s="178"/>
      <c r="I1" s="234"/>
      <c r="J1" s="235"/>
    </row>
    <row r="2" spans="1:11" ht="46.2" customHeight="1" x14ac:dyDescent="0.3">
      <c r="A2" s="237"/>
      <c r="B2" s="238" t="s">
        <v>8</v>
      </c>
      <c r="C2" s="239"/>
      <c r="D2" s="240">
        <v>1</v>
      </c>
      <c r="E2" s="241" t="str">
        <f>IFERROR(INDEX(Table2[School District], MATCH($D$2,Table2[SD Number], 0)), "Please select school district number.")</f>
        <v>Sample School District</v>
      </c>
      <c r="F2" s="165"/>
      <c r="G2" s="242"/>
      <c r="H2" s="243"/>
      <c r="I2" s="234"/>
      <c r="J2" s="235"/>
    </row>
    <row r="3" spans="1:11" ht="17.399999999999999" customHeight="1" x14ac:dyDescent="0.3">
      <c r="A3" s="237"/>
      <c r="B3" s="244" t="s">
        <v>9</v>
      </c>
      <c r="C3" s="245"/>
      <c r="D3" s="246"/>
      <c r="E3" s="247"/>
      <c r="F3" s="166"/>
      <c r="G3" s="242"/>
      <c r="H3" s="243"/>
      <c r="I3" s="234"/>
      <c r="J3" s="235"/>
    </row>
    <row r="4" spans="1:11" ht="37.200000000000003" customHeight="1" x14ac:dyDescent="0.3">
      <c r="A4" s="248"/>
      <c r="B4" s="249" t="s">
        <v>10</v>
      </c>
      <c r="C4" s="250"/>
      <c r="D4" s="251">
        <v>2648</v>
      </c>
      <c r="E4" s="252"/>
      <c r="F4" s="167"/>
      <c r="G4" s="253"/>
      <c r="H4" s="243"/>
      <c r="I4" s="234"/>
      <c r="J4" s="235"/>
    </row>
    <row r="5" spans="1:11" ht="37.200000000000003" customHeight="1" x14ac:dyDescent="0.3">
      <c r="A5" s="248"/>
      <c r="B5" s="254" t="s">
        <v>11</v>
      </c>
      <c r="C5" s="255"/>
      <c r="D5" s="256">
        <v>28</v>
      </c>
      <c r="E5" s="252"/>
      <c r="F5" s="167"/>
      <c r="G5" s="253"/>
      <c r="H5" s="243"/>
      <c r="I5" s="234"/>
      <c r="J5" s="235"/>
    </row>
    <row r="6" spans="1:11" ht="25.5" customHeight="1" x14ac:dyDescent="0.3">
      <c r="A6" s="248"/>
      <c r="B6" s="257"/>
      <c r="C6" s="258"/>
      <c r="D6" s="259" t="s">
        <v>12</v>
      </c>
      <c r="E6" s="260"/>
      <c r="F6" s="260"/>
      <c r="G6" s="260"/>
      <c r="H6" s="261"/>
      <c r="I6" s="234"/>
      <c r="J6" s="235"/>
    </row>
    <row r="7" spans="1:11" ht="18" customHeight="1" x14ac:dyDescent="0.3">
      <c r="A7" s="262" t="s">
        <v>13</v>
      </c>
      <c r="B7" s="263"/>
      <c r="C7" s="263"/>
      <c r="D7" s="263"/>
      <c r="E7" s="263"/>
      <c r="F7" s="263"/>
      <c r="G7" s="263"/>
      <c r="H7" s="264"/>
      <c r="J7" s="265"/>
    </row>
    <row r="8" spans="1:11" ht="175.2" customHeight="1" x14ac:dyDescent="0.3">
      <c r="A8" s="266" t="s">
        <v>14</v>
      </c>
      <c r="B8" s="267"/>
      <c r="C8" s="268"/>
      <c r="D8" s="269"/>
      <c r="E8" s="269"/>
      <c r="F8" s="269"/>
      <c r="G8" s="269"/>
      <c r="H8" s="270"/>
      <c r="I8" s="271"/>
    </row>
    <row r="9" spans="1:11" ht="67.95" customHeight="1" x14ac:dyDescent="0.3">
      <c r="A9" s="272" t="s">
        <v>15</v>
      </c>
      <c r="B9" s="273"/>
      <c r="C9" s="268"/>
      <c r="D9" s="269"/>
      <c r="E9" s="269"/>
      <c r="F9" s="269"/>
      <c r="G9" s="269"/>
      <c r="H9" s="270"/>
      <c r="I9" s="274"/>
    </row>
    <row r="10" spans="1:11" ht="106.95" customHeight="1" x14ac:dyDescent="0.3">
      <c r="A10" s="275" t="s">
        <v>16</v>
      </c>
      <c r="B10" s="276"/>
      <c r="C10" s="268"/>
      <c r="D10" s="269"/>
      <c r="E10" s="269"/>
      <c r="F10" s="269"/>
      <c r="G10" s="269"/>
      <c r="H10" s="270"/>
      <c r="I10" s="235"/>
      <c r="J10" s="235"/>
    </row>
    <row r="11" spans="1:11" ht="88.95" customHeight="1" x14ac:dyDescent="0.3">
      <c r="A11" s="277" t="s">
        <v>17</v>
      </c>
      <c r="B11" s="278"/>
      <c r="C11" s="268"/>
      <c r="D11" s="269"/>
      <c r="E11" s="269"/>
      <c r="F11" s="269"/>
      <c r="G11" s="269"/>
      <c r="H11" s="270"/>
    </row>
    <row r="12" spans="1:11" ht="15" customHeight="1" x14ac:dyDescent="0.3">
      <c r="A12" s="279" t="s">
        <v>18</v>
      </c>
      <c r="B12" s="280"/>
      <c r="C12" s="280"/>
      <c r="D12" s="280"/>
      <c r="E12" s="280"/>
      <c r="F12" s="280"/>
      <c r="G12" s="280"/>
      <c r="H12" s="281"/>
    </row>
    <row r="13" spans="1:11" ht="69.599999999999994" customHeight="1" x14ac:dyDescent="0.3">
      <c r="A13" s="282" t="s">
        <v>19</v>
      </c>
      <c r="B13" s="283"/>
      <c r="C13" s="283"/>
      <c r="D13" s="283"/>
      <c r="E13" s="283"/>
      <c r="F13" s="284"/>
      <c r="G13" s="284"/>
      <c r="H13" s="285"/>
      <c r="I13" s="286"/>
      <c r="J13" s="287" t="s">
        <v>20</v>
      </c>
      <c r="K13" s="288" t="s">
        <v>20</v>
      </c>
    </row>
    <row r="14" spans="1:11" ht="35.700000000000003" customHeight="1" x14ac:dyDescent="0.3">
      <c r="A14" s="289"/>
      <c r="B14" s="290" t="s">
        <v>21</v>
      </c>
      <c r="C14" s="290"/>
      <c r="D14" s="290"/>
      <c r="E14" s="290"/>
      <c r="F14" s="290"/>
      <c r="G14" s="291">
        <f>IFERROR(INDEX(Table2[Proxy], MATCH(D2,Table2[SD Number], 0)), "Select SD# Above")</f>
        <v>14112</v>
      </c>
      <c r="H14" s="292" t="s">
        <v>20</v>
      </c>
      <c r="I14" s="286" t="s">
        <v>20</v>
      </c>
      <c r="J14" s="287"/>
      <c r="K14" s="288"/>
    </row>
    <row r="15" spans="1:11" ht="16.2" customHeight="1" x14ac:dyDescent="0.3">
      <c r="A15" s="293" t="s">
        <v>22</v>
      </c>
      <c r="B15" s="294"/>
      <c r="C15" s="294"/>
      <c r="D15" s="294"/>
      <c r="E15" s="294"/>
      <c r="F15" s="294"/>
      <c r="G15" s="294"/>
      <c r="H15" s="295"/>
      <c r="I15" s="286"/>
      <c r="J15" s="287"/>
      <c r="K15" s="288"/>
    </row>
    <row r="16" spans="1:11" ht="161.69999999999999" customHeight="1" x14ac:dyDescent="0.3">
      <c r="A16" s="296" t="s">
        <v>23</v>
      </c>
      <c r="B16" s="297"/>
      <c r="C16" s="298"/>
      <c r="D16" s="299" t="s">
        <v>24</v>
      </c>
      <c r="E16" s="299" t="s">
        <v>25</v>
      </c>
      <c r="F16" s="299" t="s">
        <v>26</v>
      </c>
      <c r="G16" s="299" t="s">
        <v>27</v>
      </c>
      <c r="H16" s="300" t="s">
        <v>28</v>
      </c>
      <c r="I16" s="234"/>
      <c r="K16" s="288"/>
    </row>
    <row r="17" spans="1:11" ht="19.5" customHeight="1" x14ac:dyDescent="0.3">
      <c r="A17" s="289"/>
      <c r="B17" s="301" t="s">
        <v>29</v>
      </c>
      <c r="C17" s="169"/>
      <c r="D17" s="169"/>
      <c r="E17" s="169"/>
      <c r="F17" s="169"/>
      <c r="G17" s="169"/>
      <c r="H17" s="302"/>
      <c r="K17" s="303" t="s">
        <v>20</v>
      </c>
    </row>
    <row r="18" spans="1:11" ht="27" customHeight="1" x14ac:dyDescent="0.3">
      <c r="A18" s="289"/>
      <c r="B18" s="304" t="s">
        <v>30</v>
      </c>
      <c r="C18" s="142"/>
      <c r="D18" s="305">
        <f>IFERROR(INDEX(Table2[2025-26 Revenue (and sources) for all operational costs  
For information
(Table 2A operating grant manual (Dec re-calc based on Sept 1701)], MATCH(D2,Table2[SD Number], 0)), "Select SD# Above")</f>
        <v>80620105</v>
      </c>
      <c r="E18" s="306">
        <f>IFERROR(INDEX(Table2[2024-25 Actual Student Transportation spending
 (June 30, 2025 audited financial statement)
(all students)], MATCH(D2,Table2[SD Number], 0)), "Select SD# Above")</f>
        <v>2194405</v>
      </c>
      <c r="F18" s="306">
        <f>IFERROR(INDEX(Table2[2024-25 First Nation Students living on reserve  Transportation spending 
(school district reported) to June 30, 2025) ], MATCH(D2,Table2[SD Number], 0)), "Select SD# Above")</f>
        <v>123560</v>
      </c>
      <c r="G18" s="306"/>
      <c r="H18" s="307"/>
      <c r="I18" s="308"/>
      <c r="J18" s="308"/>
      <c r="K18" s="303" t="s">
        <v>20</v>
      </c>
    </row>
    <row r="19" spans="1:11" ht="30.75" customHeight="1" x14ac:dyDescent="0.3">
      <c r="A19" s="289"/>
      <c r="B19" s="309" t="s">
        <v>31</v>
      </c>
      <c r="C19" s="142"/>
      <c r="D19" s="142"/>
      <c r="E19" s="305"/>
      <c r="F19" s="305"/>
      <c r="G19" s="305"/>
      <c r="H19" s="310"/>
      <c r="I19" s="308"/>
      <c r="J19" s="308"/>
      <c r="K19" s="303" t="s">
        <v>20</v>
      </c>
    </row>
    <row r="20" spans="1:11" ht="20.25" customHeight="1" x14ac:dyDescent="0.3">
      <c r="A20" s="289"/>
      <c r="B20" s="311" t="s">
        <v>32</v>
      </c>
      <c r="C20" s="311"/>
      <c r="D20" s="312">
        <f>IFERROR(INDEX(Table2[2025-26 Student Location Factor], MATCH(D2,Table2[SD Number], 0)), "Select SD# Above")</f>
        <v>2677601</v>
      </c>
      <c r="E20" s="305"/>
      <c r="F20" s="305"/>
      <c r="G20" s="305"/>
      <c r="H20" s="310"/>
      <c r="I20" s="236" t="s">
        <v>20</v>
      </c>
      <c r="K20" s="303"/>
    </row>
    <row r="21" spans="1:11" ht="18.75" customHeight="1" x14ac:dyDescent="0.3">
      <c r="A21" s="289"/>
      <c r="B21" s="313" t="s">
        <v>33</v>
      </c>
      <c r="C21" s="314"/>
      <c r="D21" s="312">
        <f>IFERROR(INDEX(Table2[2025-26 Supplemental
Student Location
Factor Funding], MATCH(D2,Table2[SD Number], 0)), "Select SD# Above")</f>
        <v>439000</v>
      </c>
      <c r="E21" s="305"/>
      <c r="F21" s="305"/>
      <c r="G21" s="305"/>
      <c r="H21" s="315"/>
      <c r="I21" s="236" t="s">
        <v>20</v>
      </c>
      <c r="K21" s="303" t="s">
        <v>20</v>
      </c>
    </row>
    <row r="22" spans="1:11" ht="28.2" customHeight="1" x14ac:dyDescent="0.3">
      <c r="A22" s="289"/>
      <c r="B22" s="316" t="s">
        <v>34</v>
      </c>
      <c r="C22" s="142"/>
      <c r="D22" s="312">
        <f>IFERROR(INDEX(Table2[2025-26 Student Transportation Fund], MATCH(D2,Table2[SD Number], 0)), "Select SD# Above")</f>
        <v>361459</v>
      </c>
      <c r="E22" s="305"/>
      <c r="F22" s="305"/>
      <c r="G22" s="317"/>
      <c r="H22" s="318"/>
      <c r="K22" s="236" t="s">
        <v>20</v>
      </c>
    </row>
    <row r="23" spans="1:11" ht="28.2" customHeight="1" x14ac:dyDescent="0.3">
      <c r="A23" s="289"/>
      <c r="B23" s="319" t="s">
        <v>35</v>
      </c>
      <c r="C23" s="142"/>
      <c r="D23" s="320">
        <f>SUM(D18,D22)</f>
        <v>80981564</v>
      </c>
      <c r="E23" s="305"/>
      <c r="F23" s="305"/>
      <c r="G23" s="321">
        <v>2297329</v>
      </c>
      <c r="H23" s="322">
        <v>127890</v>
      </c>
      <c r="K23" s="323" t="s">
        <v>20</v>
      </c>
    </row>
    <row r="24" spans="1:11" ht="16.95" customHeight="1" x14ac:dyDescent="0.3">
      <c r="A24" s="324" t="s">
        <v>36</v>
      </c>
      <c r="B24" s="325"/>
      <c r="C24" s="325"/>
      <c r="D24" s="325"/>
      <c r="E24" s="325"/>
      <c r="F24" s="325"/>
      <c r="G24" s="325"/>
      <c r="H24" s="326"/>
    </row>
    <row r="25" spans="1:11" ht="66" customHeight="1" x14ac:dyDescent="0.3">
      <c r="A25" s="327" t="s">
        <v>37</v>
      </c>
      <c r="B25" s="328"/>
      <c r="C25" s="328"/>
      <c r="D25" s="329" t="s">
        <v>38</v>
      </c>
      <c r="E25" s="329" t="s">
        <v>39</v>
      </c>
      <c r="F25" s="329" t="s">
        <v>40</v>
      </c>
      <c r="G25" s="329" t="s">
        <v>46</v>
      </c>
      <c r="H25" s="330" t="s">
        <v>47</v>
      </c>
      <c r="I25" s="323"/>
    </row>
    <row r="26" spans="1:11" ht="37.950000000000003" customHeight="1" x14ac:dyDescent="0.3">
      <c r="A26" s="331"/>
      <c r="B26" s="332" t="s">
        <v>43</v>
      </c>
      <c r="C26" s="332"/>
      <c r="D26" s="333">
        <v>769</v>
      </c>
      <c r="E26" s="333">
        <f>IFERROR(INDEX(Table2[2025-26 BCTEA Approved], MATCH(D2,Table2[SD Number], 0)), "Select SD# Above")</f>
        <v>39787</v>
      </c>
      <c r="F26" s="333">
        <f>E26</f>
        <v>39787</v>
      </c>
      <c r="G26" s="334">
        <v>39246</v>
      </c>
      <c r="H26" s="170">
        <f>(F26-G26)+D26</f>
        <v>1310</v>
      </c>
      <c r="I26" s="323"/>
    </row>
    <row r="27" spans="1:11" ht="15.6" x14ac:dyDescent="0.3">
      <c r="A27" s="335" t="s">
        <v>44</v>
      </c>
      <c r="B27" s="336"/>
      <c r="C27" s="337"/>
      <c r="D27" s="337"/>
      <c r="E27" s="337"/>
      <c r="F27" s="337"/>
      <c r="G27" s="338"/>
      <c r="H27" s="339"/>
    </row>
    <row r="28" spans="1:11" ht="28.95" customHeight="1" x14ac:dyDescent="0.3">
      <c r="A28" s="340" t="s">
        <v>45</v>
      </c>
      <c r="B28" s="341"/>
      <c r="C28" s="342"/>
      <c r="D28" s="342"/>
      <c r="E28" s="343"/>
      <c r="F28" s="343"/>
      <c r="G28" s="343"/>
      <c r="H28" s="344">
        <f>SUM($G$26, $H$23)</f>
        <v>167136</v>
      </c>
    </row>
    <row r="29" spans="1:11" ht="14.25" customHeight="1" x14ac:dyDescent="0.3">
      <c r="A29" s="345"/>
      <c r="B29" s="346"/>
      <c r="C29" s="347"/>
      <c r="D29" s="347"/>
      <c r="E29" s="347"/>
      <c r="F29" s="347"/>
      <c r="G29" s="348"/>
      <c r="H29" s="349"/>
      <c r="J29" s="350"/>
      <c r="K29" s="350"/>
    </row>
  </sheetData>
  <sheetProtection algorithmName="SHA-512" hashValue="wCC3QV8a06dvOQ9BzbdZFqLjPVzquJs21wvgpfkRUwKAZjhBAKFWcK3RMhJ/8eDDqm8MGMJDQrw5E3W/wwU/qA==" saltValue="EJ9CgXFLmpZOg6mDZC3x6Q==" spinCount="100000" sheet="1" formatRows="0" selectLockedCells="1"/>
  <protectedRanges>
    <protectedRange sqref="H15 G19:H22 H18" name="Range4"/>
    <protectedRange sqref="C8:G8 C9:G11" name="Range2"/>
    <protectedRange sqref="D2 D4:D5" name="Range1_1"/>
    <protectedRange sqref="A8 A9:B11" name="Range2_1"/>
  </protectedRanges>
  <mergeCells count="20">
    <mergeCell ref="B26:C26"/>
    <mergeCell ref="A9:B9"/>
    <mergeCell ref="C9:H9"/>
    <mergeCell ref="A10:B10"/>
    <mergeCell ref="C10:H10"/>
    <mergeCell ref="A13:E13"/>
    <mergeCell ref="B14:F14"/>
    <mergeCell ref="A16:C16"/>
    <mergeCell ref="B20:C20"/>
    <mergeCell ref="A25:C25"/>
    <mergeCell ref="I10:J10"/>
    <mergeCell ref="A11:B11"/>
    <mergeCell ref="C11:H11"/>
    <mergeCell ref="C1:H1"/>
    <mergeCell ref="J1:J6"/>
    <mergeCell ref="B2:C2"/>
    <mergeCell ref="B4:C4"/>
    <mergeCell ref="B5:C5"/>
    <mergeCell ref="A8:B8"/>
    <mergeCell ref="C8:H8"/>
  </mergeCells>
  <conditionalFormatting sqref="G2:G3">
    <cfRule type="cellIs" dxfId="2" priority="1" operator="equal">
      <formula>"ERROR - Please Seect from the drop down menue to the left."</formula>
    </cfRule>
  </conditionalFormatting>
  <dataValidations count="3">
    <dataValidation type="whole" operator="greaterThanOrEqual" allowBlank="1" showInputMessage="1" showErrorMessage="1" sqref="H22 H18" xr:uid="{498DCB7B-82E2-4B05-B674-412B5DF4F1E9}">
      <formula1>0</formula1>
    </dataValidation>
    <dataValidation type="whole" operator="greaterThan" allowBlank="1" showInputMessage="1" showErrorMessage="1" sqref="H19:H21" xr:uid="{428D95AD-FF69-45AA-ABF5-5E132F8AA117}">
      <formula1>0</formula1>
    </dataValidation>
    <dataValidation type="decimal" operator="greaterThanOrEqual" allowBlank="1" showInputMessage="1" showErrorMessage="1" sqref="H15" xr:uid="{879889D5-5867-4E44-A9D1-8A1BB9BA6098}">
      <formula1>0</formula1>
    </dataValidation>
  </dataValidations>
  <hyperlinks>
    <hyperlink ref="B21" r:id="rId1" location="page=16" xr:uid="{8B56B74A-1647-4878-9561-F808F5310594}"/>
    <hyperlink ref="B18" r:id="rId2" xr:uid="{DFD0E9B0-4458-473F-8FA9-0DCA1D910CB8}"/>
    <hyperlink ref="B20" r:id="rId3" location="page=14" display=" Student Location Factor (SLF) " xr:uid="{7D1803AB-019F-4E4A-ABAA-1F92E437D88D}"/>
    <hyperlink ref="B20:C20" r:id="rId4" location="page=15" display=" Student Location Factor (SLF)" xr:uid="{9F143FC1-0C81-49F8-AC7C-534623365B80}"/>
  </hyperlinks>
  <printOptions horizontalCentered="1"/>
  <pageMargins left="0" right="0" top="0.59055118110236227" bottom="0.59055118110236227" header="0" footer="0"/>
  <pageSetup scale="57" orientation="portrait" r:id="rId5"/>
  <rowBreaks count="1" manualBreakCount="1">
    <brk id="15" max="7" man="1"/>
  </rowBreaks>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14EAEC0E-1FE4-4A9F-A541-65F3333BE8BB}">
          <x14:formula1>
            <xm:f>'Auto Populate Table'!$A$2:$A$62</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0DD9-1284-4466-ACA5-47A752E38A18}">
  <dimension ref="A1:L16"/>
  <sheetViews>
    <sheetView topLeftCell="A5" zoomScale="80" zoomScaleNormal="80" workbookViewId="0">
      <selection activeCell="A5" sqref="A1:XFD1048576"/>
    </sheetView>
  </sheetViews>
  <sheetFormatPr defaultRowHeight="14.4" x14ac:dyDescent="0.3"/>
  <cols>
    <col min="10" max="10" width="14.6640625" customWidth="1"/>
    <col min="11" max="11" width="21.6640625" customWidth="1"/>
  </cols>
  <sheetData>
    <row r="1" spans="1:12" ht="37.950000000000003" customHeight="1" x14ac:dyDescent="0.35">
      <c r="A1" s="192" t="s">
        <v>48</v>
      </c>
      <c r="B1" s="192"/>
      <c r="C1" s="192"/>
      <c r="D1" s="192"/>
      <c r="E1" s="192"/>
      <c r="F1" s="192"/>
      <c r="G1" s="192"/>
      <c r="H1" s="192"/>
      <c r="I1" s="192"/>
      <c r="J1" s="192"/>
      <c r="K1" s="144"/>
      <c r="L1" s="143"/>
    </row>
    <row r="2" spans="1:12" ht="14.7" customHeight="1" x14ac:dyDescent="0.3">
      <c r="A2" s="190" t="s">
        <v>49</v>
      </c>
      <c r="B2" s="190"/>
      <c r="C2" s="190"/>
      <c r="D2" s="190"/>
      <c r="E2" s="190"/>
      <c r="F2" s="190"/>
      <c r="G2" s="190"/>
      <c r="H2" s="190"/>
      <c r="I2" s="190"/>
      <c r="J2" s="190"/>
      <c r="K2" s="145"/>
    </row>
    <row r="3" spans="1:12" ht="37.200000000000003" customHeight="1" x14ac:dyDescent="0.3">
      <c r="A3" s="191" t="s">
        <v>50</v>
      </c>
      <c r="B3" s="191"/>
      <c r="C3" s="191"/>
      <c r="D3" s="191"/>
      <c r="E3" s="191"/>
      <c r="F3" s="191"/>
      <c r="G3" s="191"/>
      <c r="H3" s="191"/>
      <c r="I3" s="191"/>
      <c r="J3" s="191"/>
      <c r="K3" s="145"/>
    </row>
    <row r="4" spans="1:12" ht="97.8" customHeight="1" x14ac:dyDescent="0.3">
      <c r="A4" s="193" t="s">
        <v>51</v>
      </c>
      <c r="B4" s="193"/>
      <c r="C4" s="193"/>
      <c r="D4" s="193"/>
      <c r="E4" s="193"/>
      <c r="F4" s="193"/>
      <c r="G4" s="193"/>
      <c r="H4" s="193"/>
      <c r="I4" s="193"/>
      <c r="J4" s="193"/>
      <c r="K4" s="146"/>
    </row>
    <row r="5" spans="1:12" ht="15.6" x14ac:dyDescent="0.3">
      <c r="A5" s="190" t="s">
        <v>52</v>
      </c>
      <c r="B5" s="190"/>
      <c r="C5" s="190"/>
      <c r="D5" s="190"/>
      <c r="E5" s="190"/>
      <c r="F5" s="190"/>
      <c r="G5" s="190"/>
      <c r="H5" s="190"/>
      <c r="I5" s="190"/>
      <c r="J5" s="190"/>
      <c r="K5" s="144"/>
      <c r="L5" s="143"/>
    </row>
    <row r="6" spans="1:12" ht="79.2" customHeight="1" x14ac:dyDescent="0.3">
      <c r="A6" s="191" t="s">
        <v>53</v>
      </c>
      <c r="B6" s="191"/>
      <c r="C6" s="191"/>
      <c r="D6" s="191"/>
      <c r="E6" s="191"/>
      <c r="F6" s="191"/>
      <c r="G6" s="191"/>
      <c r="H6" s="191"/>
      <c r="I6" s="191"/>
      <c r="J6" s="191"/>
      <c r="K6" s="144"/>
      <c r="L6" s="143"/>
    </row>
    <row r="7" spans="1:12" ht="15.6" x14ac:dyDescent="0.3">
      <c r="A7" s="190" t="s">
        <v>54</v>
      </c>
      <c r="B7" s="190"/>
      <c r="C7" s="190"/>
      <c r="D7" s="190"/>
      <c r="E7" s="190"/>
      <c r="F7" s="190"/>
      <c r="G7" s="190"/>
      <c r="H7" s="190"/>
      <c r="I7" s="190"/>
      <c r="J7" s="190"/>
      <c r="K7" s="144"/>
      <c r="L7" s="143"/>
    </row>
    <row r="8" spans="1:12" ht="21.6" customHeight="1" x14ac:dyDescent="0.3">
      <c r="A8" s="191" t="s">
        <v>55</v>
      </c>
      <c r="B8" s="191"/>
      <c r="C8" s="191"/>
      <c r="D8" s="191"/>
      <c r="E8" s="191"/>
      <c r="F8" s="191"/>
      <c r="G8" s="191"/>
      <c r="H8" s="191"/>
      <c r="I8" s="191"/>
      <c r="J8" s="191"/>
      <c r="K8" s="144"/>
      <c r="L8" s="143"/>
    </row>
    <row r="9" spans="1:12" ht="15.6" x14ac:dyDescent="0.3">
      <c r="A9" s="190" t="s">
        <v>56</v>
      </c>
      <c r="B9" s="190"/>
      <c r="C9" s="190"/>
      <c r="D9" s="190"/>
      <c r="E9" s="190"/>
      <c r="F9" s="190"/>
      <c r="G9" s="190"/>
      <c r="H9" s="190"/>
      <c r="I9" s="190"/>
      <c r="J9" s="190"/>
      <c r="K9" s="144"/>
      <c r="L9" s="143"/>
    </row>
    <row r="10" spans="1:12" ht="36" customHeight="1" x14ac:dyDescent="0.3">
      <c r="A10" s="191" t="s">
        <v>57</v>
      </c>
      <c r="B10" s="191"/>
      <c r="C10" s="191"/>
      <c r="D10" s="191"/>
      <c r="E10" s="191"/>
      <c r="F10" s="191"/>
      <c r="G10" s="191"/>
      <c r="H10" s="191"/>
      <c r="I10" s="191"/>
      <c r="J10" s="191"/>
      <c r="K10" s="144"/>
      <c r="L10" s="143"/>
    </row>
    <row r="11" spans="1:12" ht="15.6" x14ac:dyDescent="0.3">
      <c r="A11" s="190" t="s">
        <v>58</v>
      </c>
      <c r="B11" s="190"/>
      <c r="C11" s="190"/>
      <c r="D11" s="190"/>
      <c r="E11" s="190"/>
      <c r="F11" s="190"/>
      <c r="G11" s="190"/>
      <c r="H11" s="190"/>
      <c r="I11" s="190"/>
      <c r="J11" s="190"/>
      <c r="K11" s="144"/>
      <c r="L11" s="143"/>
    </row>
    <row r="12" spans="1:12" ht="36" customHeight="1" x14ac:dyDescent="0.3">
      <c r="A12" s="191" t="s">
        <v>59</v>
      </c>
      <c r="B12" s="191"/>
      <c r="C12" s="191"/>
      <c r="D12" s="191"/>
      <c r="E12" s="191"/>
      <c r="F12" s="191"/>
      <c r="G12" s="191"/>
      <c r="H12" s="191"/>
      <c r="I12" s="191"/>
      <c r="J12" s="191"/>
      <c r="K12" s="144"/>
      <c r="L12" s="143"/>
    </row>
    <row r="13" spans="1:12" ht="15.6" x14ac:dyDescent="0.3">
      <c r="A13" s="190" t="s">
        <v>60</v>
      </c>
      <c r="B13" s="190"/>
      <c r="C13" s="190"/>
      <c r="D13" s="190"/>
      <c r="E13" s="190"/>
      <c r="F13" s="190"/>
      <c r="G13" s="190"/>
      <c r="H13" s="190"/>
      <c r="I13" s="190"/>
      <c r="J13" s="190"/>
      <c r="K13" s="144"/>
      <c r="L13" s="143"/>
    </row>
    <row r="14" spans="1:12" ht="69.599999999999994" customHeight="1" x14ac:dyDescent="0.3">
      <c r="A14" s="191" t="s">
        <v>61</v>
      </c>
      <c r="B14" s="191"/>
      <c r="C14" s="191"/>
      <c r="D14" s="191"/>
      <c r="E14" s="191"/>
      <c r="F14" s="191"/>
      <c r="G14" s="191"/>
      <c r="H14" s="191"/>
      <c r="I14" s="191"/>
      <c r="J14" s="191"/>
      <c r="K14" s="144"/>
      <c r="L14" s="143"/>
    </row>
    <row r="15" spans="1:12" ht="15.6" x14ac:dyDescent="0.3">
      <c r="A15" s="190" t="s">
        <v>62</v>
      </c>
      <c r="B15" s="190"/>
      <c r="C15" s="190"/>
      <c r="D15" s="190"/>
      <c r="E15" s="190"/>
      <c r="F15" s="190"/>
      <c r="G15" s="190"/>
      <c r="H15" s="190"/>
      <c r="I15" s="190"/>
      <c r="J15" s="190"/>
      <c r="K15" s="147"/>
    </row>
    <row r="16" spans="1:12" ht="51" customHeight="1" x14ac:dyDescent="0.3">
      <c r="A16" s="191" t="s">
        <v>63</v>
      </c>
      <c r="B16" s="191"/>
      <c r="C16" s="191"/>
      <c r="D16" s="191"/>
      <c r="E16" s="191"/>
      <c r="F16" s="191"/>
      <c r="G16" s="191"/>
      <c r="H16" s="191"/>
      <c r="I16" s="191"/>
      <c r="J16" s="191"/>
      <c r="K16" s="147"/>
    </row>
  </sheetData>
  <sheetProtection algorithmName="SHA-512" hashValue="1EUl+VDqCXja3Nv+ywWSubAiK+KT6zrPQARvQmsgeF4QO5lh+ZAinu+jMxXRCvWkJK4vXvcZnLFZI/3gbgyemg==" saltValue="7KBvM1RYgzcrq6tcLG4GcQ==" spinCount="100000" sheet="1" objects="1" scenarios="1"/>
  <mergeCells count="16">
    <mergeCell ref="A3:J3"/>
    <mergeCell ref="A1:J1"/>
    <mergeCell ref="A2:J2"/>
    <mergeCell ref="A5:J5"/>
    <mergeCell ref="A4:J4"/>
    <mergeCell ref="A15:J15"/>
    <mergeCell ref="A16:J16"/>
    <mergeCell ref="A6:J6"/>
    <mergeCell ref="A13:J13"/>
    <mergeCell ref="A14:J14"/>
    <mergeCell ref="A7:J7"/>
    <mergeCell ref="A8:J8"/>
    <mergeCell ref="A9:J9"/>
    <mergeCell ref="A10:J10"/>
    <mergeCell ref="A11:J11"/>
    <mergeCell ref="A12:J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8B82-02A5-4148-BB89-02872E99B72A}">
  <sheetPr>
    <tabColor theme="0" tint="-0.499984740745262"/>
  </sheetPr>
  <dimension ref="A1:M99"/>
  <sheetViews>
    <sheetView topLeftCell="A39" zoomScaleNormal="100" workbookViewId="0">
      <selection activeCell="J11" sqref="J11"/>
    </sheetView>
  </sheetViews>
  <sheetFormatPr defaultColWidth="9.33203125" defaultRowHeight="15" customHeight="1" x14ac:dyDescent="0.3"/>
  <cols>
    <col min="1" max="1" width="7" style="11" customWidth="1"/>
    <col min="2" max="2" width="55.6640625" style="11" customWidth="1"/>
    <col min="3" max="3" width="15.33203125" style="53" customWidth="1"/>
    <col min="4" max="5" width="17.6640625" style="53" customWidth="1"/>
    <col min="6" max="7" width="16.6640625" style="53" customWidth="1"/>
    <col min="8" max="8" width="17" style="11" customWidth="1"/>
    <col min="9" max="9" width="19.44140625" style="11" customWidth="1"/>
    <col min="10" max="10" width="45" style="11" customWidth="1"/>
    <col min="11" max="11" width="32" style="11" customWidth="1"/>
    <col min="12" max="12" width="18.33203125" style="11" customWidth="1"/>
    <col min="13" max="16384" width="9.33203125" style="11"/>
  </cols>
  <sheetData>
    <row r="1" spans="1:11" ht="43.2" customHeight="1" x14ac:dyDescent="0.3">
      <c r="A1" s="10"/>
      <c r="B1" s="10"/>
      <c r="C1" s="221" t="s">
        <v>64</v>
      </c>
      <c r="D1" s="221"/>
      <c r="E1" s="221"/>
      <c r="F1" s="221"/>
      <c r="G1" s="221"/>
      <c r="H1" s="221"/>
      <c r="I1" s="221"/>
      <c r="J1" s="4" t="s">
        <v>20</v>
      </c>
    </row>
    <row r="2" spans="1:11" ht="40.200000000000003" customHeight="1" x14ac:dyDescent="0.3">
      <c r="A2" s="222" t="s">
        <v>65</v>
      </c>
      <c r="B2" s="222"/>
      <c r="C2" s="222"/>
      <c r="D2" s="222"/>
      <c r="E2" s="222"/>
      <c r="F2" s="222"/>
      <c r="G2" s="222"/>
      <c r="H2" s="222"/>
      <c r="I2" s="222"/>
      <c r="J2" s="4" t="s">
        <v>20</v>
      </c>
      <c r="K2" s="11" t="s">
        <v>20</v>
      </c>
    </row>
    <row r="3" spans="1:11" ht="33" customHeight="1" x14ac:dyDescent="0.3">
      <c r="A3" s="223" t="s">
        <v>66</v>
      </c>
      <c r="B3" s="223"/>
      <c r="C3" s="223"/>
      <c r="D3" s="223"/>
      <c r="E3" s="223"/>
      <c r="F3" s="223"/>
      <c r="G3" s="223"/>
      <c r="H3" s="223"/>
      <c r="I3" s="223"/>
    </row>
    <row r="4" spans="1:11" ht="18.75" customHeight="1" x14ac:dyDescent="0.3">
      <c r="A4" s="14" t="s">
        <v>67</v>
      </c>
      <c r="B4" s="14"/>
      <c r="C4" s="15"/>
      <c r="D4" s="16" t="s">
        <v>68</v>
      </c>
      <c r="E4" s="16"/>
      <c r="F4" s="17"/>
      <c r="G4" s="18"/>
      <c r="H4" s="13"/>
      <c r="I4" s="13"/>
    </row>
    <row r="5" spans="1:11" ht="18.75" customHeight="1" x14ac:dyDescent="0.3">
      <c r="A5" s="14" t="s">
        <v>69</v>
      </c>
      <c r="B5" s="14"/>
      <c r="C5" s="12"/>
      <c r="D5" s="12"/>
      <c r="E5" s="12"/>
      <c r="F5" s="13"/>
      <c r="G5" s="13"/>
      <c r="H5" s="13"/>
      <c r="I5" s="13"/>
    </row>
    <row r="6" spans="1:11" ht="47.25" customHeight="1" x14ac:dyDescent="0.3">
      <c r="A6" s="14"/>
      <c r="B6" s="182" t="s">
        <v>8</v>
      </c>
      <c r="C6" s="183"/>
      <c r="D6" s="55">
        <v>1</v>
      </c>
      <c r="E6" s="149"/>
      <c r="F6" s="70" t="str">
        <f>IFERROR(INDEX(Table2[School District], MATCH($D$6,Table2[SD Number], 0)), "Please select School District number.")</f>
        <v>Sample School District</v>
      </c>
      <c r="G6" s="71"/>
      <c r="H6" s="19"/>
      <c r="I6" s="13"/>
      <c r="K6" s="20"/>
    </row>
    <row r="7" spans="1:11" ht="36" customHeight="1" x14ac:dyDescent="0.3">
      <c r="A7" s="14"/>
      <c r="B7" s="65"/>
      <c r="C7" s="68"/>
      <c r="D7" s="73" t="s">
        <v>70</v>
      </c>
      <c r="E7" s="73"/>
      <c r="F7" s="73" t="s">
        <v>71</v>
      </c>
      <c r="G7" s="71" t="s">
        <v>72</v>
      </c>
      <c r="H7" s="19"/>
      <c r="I7" s="13"/>
      <c r="K7" s="20"/>
    </row>
    <row r="8" spans="1:11" ht="46.5" customHeight="1" x14ac:dyDescent="0.3">
      <c r="A8" s="21"/>
      <c r="B8" s="182" t="s">
        <v>73</v>
      </c>
      <c r="C8" s="183"/>
      <c r="D8" s="89"/>
      <c r="E8" s="150"/>
      <c r="F8" s="78">
        <f>IFERROR(INDEX(Table2[2024-25 Reported BC Residents Requiring Transportation], MATCH($D$6,Table2[SD Number], 0)), "Select SD# Above")</f>
        <v>2514</v>
      </c>
      <c r="G8" s="79">
        <f t="shared" ref="G8" si="0">IFERROR(SUM(D8-F8)/F8,"amount will autocalculate")</f>
        <v>-1</v>
      </c>
      <c r="H8" s="13"/>
      <c r="I8" s="13"/>
    </row>
    <row r="9" spans="1:11" ht="31.5" customHeight="1" x14ac:dyDescent="0.3">
      <c r="A9" s="21"/>
      <c r="B9" s="182" t="s">
        <v>74</v>
      </c>
      <c r="C9" s="182"/>
      <c r="D9" s="90"/>
      <c r="E9" s="90"/>
      <c r="F9" s="78">
        <f>IFERROR(INDEX(Table2[2024-25 Reported Nominal Roll Students Requiring Transportation], MATCH($D$6,Table2[SD Number], 0)), "Select SD# Above")</f>
        <v>22</v>
      </c>
      <c r="G9" s="79">
        <f>IFERROR(SUM(D9-F9)/F9,"amount will autocalculate")</f>
        <v>-1</v>
      </c>
      <c r="H9" s="13"/>
      <c r="I9" s="13"/>
    </row>
    <row r="10" spans="1:11" ht="25.5" customHeight="1" x14ac:dyDescent="0.3">
      <c r="A10" s="21"/>
      <c r="B10" s="21"/>
      <c r="C10" s="12"/>
      <c r="D10" s="75" t="s">
        <v>75</v>
      </c>
      <c r="E10" s="75"/>
      <c r="F10" s="13"/>
      <c r="G10" s="13"/>
      <c r="H10" s="13"/>
      <c r="I10" s="13"/>
      <c r="K10" s="1"/>
    </row>
    <row r="11" spans="1:11" ht="10.5" customHeight="1" x14ac:dyDescent="0.3">
      <c r="A11" s="40"/>
      <c r="B11" s="40"/>
      <c r="C11" s="40"/>
      <c r="D11" s="40"/>
      <c r="E11" s="40"/>
      <c r="F11" s="40"/>
      <c r="G11" s="40"/>
      <c r="H11" s="40"/>
      <c r="I11" s="40"/>
      <c r="K11" s="1"/>
    </row>
    <row r="12" spans="1:11" ht="61.95" customHeight="1" x14ac:dyDescent="0.3">
      <c r="A12" s="200" t="s">
        <v>76</v>
      </c>
      <c r="B12" s="200"/>
      <c r="C12" s="200"/>
      <c r="D12" s="200"/>
      <c r="E12" s="200"/>
      <c r="F12" s="200"/>
      <c r="G12" s="200"/>
      <c r="H12" s="200"/>
      <c r="I12" s="200"/>
      <c r="J12" s="11" t="s">
        <v>20</v>
      </c>
    </row>
    <row r="13" spans="1:11" ht="24.6" customHeight="1" x14ac:dyDescent="0.3">
      <c r="A13" s="213"/>
      <c r="B13" s="214"/>
      <c r="C13" s="214"/>
      <c r="D13" s="214"/>
      <c r="E13" s="214"/>
      <c r="F13" s="214"/>
      <c r="G13" s="214"/>
      <c r="H13" s="215"/>
      <c r="I13" s="13"/>
    </row>
    <row r="14" spans="1:11" ht="24.6" customHeight="1" x14ac:dyDescent="0.3">
      <c r="A14" s="213"/>
      <c r="B14" s="214"/>
      <c r="C14" s="214"/>
      <c r="D14" s="214"/>
      <c r="E14" s="214"/>
      <c r="F14" s="214"/>
      <c r="G14" s="214"/>
      <c r="H14" s="215"/>
      <c r="I14" s="13"/>
      <c r="J14" s="11" t="s">
        <v>20</v>
      </c>
    </row>
    <row r="15" spans="1:11" ht="24.75" customHeight="1" x14ac:dyDescent="0.3">
      <c r="A15" s="213"/>
      <c r="B15" s="214"/>
      <c r="C15" s="214"/>
      <c r="D15" s="214"/>
      <c r="E15" s="214"/>
      <c r="F15" s="214"/>
      <c r="G15" s="214"/>
      <c r="H15" s="215"/>
      <c r="I15" s="13"/>
    </row>
    <row r="16" spans="1:11" ht="24.75" customHeight="1" x14ac:dyDescent="0.3">
      <c r="A16" s="213"/>
      <c r="B16" s="214"/>
      <c r="C16" s="214"/>
      <c r="D16" s="214"/>
      <c r="E16" s="214"/>
      <c r="F16" s="214"/>
      <c r="G16" s="214"/>
      <c r="H16" s="215"/>
      <c r="I16" s="13"/>
    </row>
    <row r="17" spans="1:12" ht="24.75" customHeight="1" x14ac:dyDescent="0.3">
      <c r="A17" s="213"/>
      <c r="B17" s="214"/>
      <c r="C17" s="214"/>
      <c r="D17" s="214"/>
      <c r="E17" s="214"/>
      <c r="F17" s="214"/>
      <c r="G17" s="214"/>
      <c r="H17" s="215"/>
      <c r="I17" s="13"/>
    </row>
    <row r="18" spans="1:12" ht="24.75" customHeight="1" x14ac:dyDescent="0.3">
      <c r="A18" s="213"/>
      <c r="B18" s="214"/>
      <c r="C18" s="214"/>
      <c r="D18" s="214"/>
      <c r="E18" s="214"/>
      <c r="F18" s="214"/>
      <c r="G18" s="214"/>
      <c r="H18" s="215"/>
      <c r="I18" s="13"/>
    </row>
    <row r="19" spans="1:12" ht="24.75" customHeight="1" x14ac:dyDescent="0.3">
      <c r="A19" s="213"/>
      <c r="B19" s="214"/>
      <c r="C19" s="214"/>
      <c r="D19" s="214"/>
      <c r="E19" s="214"/>
      <c r="F19" s="214"/>
      <c r="G19" s="214"/>
      <c r="H19" s="215"/>
      <c r="I19" s="13"/>
    </row>
    <row r="20" spans="1:12" ht="24.75" customHeight="1" x14ac:dyDescent="0.3">
      <c r="A20" s="213"/>
      <c r="B20" s="214"/>
      <c r="C20" s="214"/>
      <c r="D20" s="214"/>
      <c r="E20" s="214"/>
      <c r="F20" s="214"/>
      <c r="G20" s="214"/>
      <c r="H20" s="215"/>
      <c r="I20" s="13"/>
    </row>
    <row r="21" spans="1:12" ht="24.75" customHeight="1" x14ac:dyDescent="0.3">
      <c r="A21" s="213"/>
      <c r="B21" s="214"/>
      <c r="C21" s="214"/>
      <c r="D21" s="214"/>
      <c r="E21" s="214"/>
      <c r="F21" s="214"/>
      <c r="G21" s="214"/>
      <c r="H21" s="215"/>
      <c r="I21" s="13"/>
    </row>
    <row r="22" spans="1:12" ht="24.75" customHeight="1" x14ac:dyDescent="0.3">
      <c r="A22" s="216"/>
      <c r="B22" s="216"/>
      <c r="C22" s="216"/>
      <c r="D22" s="216"/>
      <c r="E22" s="216"/>
      <c r="F22" s="216"/>
      <c r="G22" s="216"/>
      <c r="H22" s="217"/>
      <c r="I22" s="13"/>
    </row>
    <row r="23" spans="1:12" ht="12.75" customHeight="1" x14ac:dyDescent="0.3">
      <c r="A23" s="40"/>
      <c r="B23" s="40"/>
      <c r="C23" s="40"/>
      <c r="D23" s="40"/>
      <c r="E23" s="40"/>
      <c r="F23" s="40"/>
      <c r="G23" s="40"/>
      <c r="H23" s="40"/>
      <c r="I23" s="40"/>
    </row>
    <row r="24" spans="1:12" ht="104.7" customHeight="1" x14ac:dyDescent="0.3">
      <c r="A24" s="200" t="s">
        <v>77</v>
      </c>
      <c r="B24" s="200"/>
      <c r="C24" s="200"/>
      <c r="D24" s="200"/>
      <c r="E24" s="200"/>
      <c r="F24" s="200"/>
      <c r="G24" s="76"/>
      <c r="H24" s="76"/>
      <c r="I24" s="76"/>
      <c r="J24" s="61"/>
      <c r="K24" s="3" t="s">
        <v>20</v>
      </c>
      <c r="L24" s="26" t="s">
        <v>20</v>
      </c>
    </row>
    <row r="25" spans="1:12" ht="33" customHeight="1" x14ac:dyDescent="0.3">
      <c r="A25" s="27"/>
      <c r="B25" s="218" t="s">
        <v>78</v>
      </c>
      <c r="C25" s="219"/>
      <c r="D25" s="219"/>
      <c r="E25" s="151"/>
      <c r="F25" s="57"/>
      <c r="G25" s="57" t="s">
        <v>20</v>
      </c>
      <c r="H25" s="57">
        <f>IFERROR(INDEX(Table2[Student Count as per 2022-23 Nominal Roll], MATCH($D$6,Table2[SD Number], 0)), "Select SD# Above")</f>
        <v>24</v>
      </c>
      <c r="I25" s="57"/>
      <c r="J25" s="61"/>
      <c r="K25" s="3"/>
      <c r="L25" s="26"/>
    </row>
    <row r="26" spans="1:12" ht="33" customHeight="1" x14ac:dyDescent="0.3">
      <c r="A26" s="27"/>
      <c r="B26" s="220" t="s">
        <v>79</v>
      </c>
      <c r="C26" s="220"/>
      <c r="D26" s="220"/>
      <c r="E26" s="148"/>
      <c r="F26" s="62"/>
      <c r="G26" s="57" t="s">
        <v>20</v>
      </c>
      <c r="H26" s="57">
        <f>IFERROR(INDEX(Table2[2025-26 FN_SR], MATCH($D$6,Table2[SD Number], 0)), "Select SD# Above")</f>
        <v>588</v>
      </c>
      <c r="I26" s="67" t="s">
        <v>20</v>
      </c>
      <c r="J26" s="61"/>
      <c r="K26" s="69"/>
      <c r="L26" s="26"/>
    </row>
    <row r="27" spans="1:12" ht="30" customHeight="1" x14ac:dyDescent="0.3">
      <c r="A27" s="27"/>
      <c r="B27" s="208" t="s">
        <v>21</v>
      </c>
      <c r="C27" s="208"/>
      <c r="D27" s="208"/>
      <c r="E27" s="208"/>
      <c r="F27" s="208"/>
      <c r="G27" s="208"/>
      <c r="H27" s="72">
        <f>IFERROR(H25*H26,"Select SD# Above")</f>
        <v>14112</v>
      </c>
      <c r="I27" s="72" t="s">
        <v>20</v>
      </c>
      <c r="J27" s="61" t="s">
        <v>20</v>
      </c>
      <c r="K27" s="3"/>
      <c r="L27" s="26"/>
    </row>
    <row r="28" spans="1:12" ht="13.5" customHeight="1" x14ac:dyDescent="0.3">
      <c r="A28" s="40"/>
      <c r="B28" s="40"/>
      <c r="C28" s="40"/>
      <c r="D28" s="40"/>
      <c r="E28" s="40"/>
      <c r="F28" s="40"/>
      <c r="G28" s="40"/>
      <c r="H28" s="40"/>
      <c r="I28" s="40"/>
      <c r="J28" s="61"/>
      <c r="K28" s="3"/>
      <c r="L28" s="26"/>
    </row>
    <row r="29" spans="1:12" ht="161.69999999999999" customHeight="1" x14ac:dyDescent="0.3">
      <c r="A29" s="209" t="s">
        <v>80</v>
      </c>
      <c r="B29" s="209"/>
      <c r="C29" s="210"/>
      <c r="D29" s="23" t="s">
        <v>81</v>
      </c>
      <c r="E29" s="23"/>
      <c r="F29" s="23" t="s">
        <v>82</v>
      </c>
      <c r="G29" s="24" t="s">
        <v>83</v>
      </c>
      <c r="H29" s="24" t="s">
        <v>84</v>
      </c>
      <c r="I29" s="25" t="s">
        <v>85</v>
      </c>
      <c r="J29" s="88" t="s">
        <v>20</v>
      </c>
      <c r="L29" s="26"/>
    </row>
    <row r="30" spans="1:12" ht="19.5" customHeight="1" x14ac:dyDescent="0.3">
      <c r="A30" s="27"/>
      <c r="B30" s="28" t="s">
        <v>29</v>
      </c>
      <c r="C30" s="29"/>
      <c r="D30" s="29"/>
      <c r="E30" s="29"/>
      <c r="F30" s="29"/>
      <c r="G30" s="30"/>
      <c r="H30" s="30"/>
      <c r="I30" s="31"/>
      <c r="L30" s="2" t="s">
        <v>20</v>
      </c>
    </row>
    <row r="31" spans="1:12" ht="27" customHeight="1" x14ac:dyDescent="0.3">
      <c r="A31" s="27"/>
      <c r="B31" s="93" t="s">
        <v>30</v>
      </c>
      <c r="C31" s="32"/>
      <c r="D31" s="116">
        <f>IFERROR(INDEX(Table2[2025-26 Revenue (and sources) for all operational costs  
For information
(Table 2A operating grant manual (Dec re-calc based on Sept 1701)], MATCH($D$6,Table2[SD Number], 0)), "Select SD# Above")</f>
        <v>80620105</v>
      </c>
      <c r="E31" s="116"/>
      <c r="F31" s="116">
        <f>IFERROR(INDEX(Table2[2024-25 Actual Student Transportation spending
 (June 30, 2025 audited financial statement)
(all students)], MATCH($D$6,Table2[SD Number], 0)), "Select SD# Above")</f>
        <v>2194405</v>
      </c>
      <c r="G31" s="116">
        <f>IFERROR(INDEX(Table2[2024-25 First Nation Students living on reserve  Transportation spending 
(school district reported) to June 30, 2025) ], MATCH($D$6,Table2[SD Number], 0)), "Select SD# Above")</f>
        <v>123560</v>
      </c>
      <c r="H31" s="140">
        <v>2400000</v>
      </c>
      <c r="I31" s="91">
        <v>121666</v>
      </c>
      <c r="J31" s="211" t="s">
        <v>20</v>
      </c>
      <c r="K31" s="211"/>
      <c r="L31" s="2" t="s">
        <v>20</v>
      </c>
    </row>
    <row r="32" spans="1:12" ht="30.75" customHeight="1" x14ac:dyDescent="0.3">
      <c r="A32" s="27"/>
      <c r="B32" s="33" t="s">
        <v>86</v>
      </c>
      <c r="C32" s="32"/>
      <c r="D32" s="32"/>
      <c r="E32" s="32"/>
      <c r="F32" s="32"/>
      <c r="G32" s="6"/>
      <c r="H32" s="34"/>
      <c r="I32" s="34"/>
      <c r="J32" s="211"/>
      <c r="K32" s="211"/>
      <c r="L32" s="2" t="s">
        <v>20</v>
      </c>
    </row>
    <row r="33" spans="1:12" ht="20.25" customHeight="1" x14ac:dyDescent="0.3">
      <c r="A33" s="27"/>
      <c r="B33" s="212" t="s">
        <v>32</v>
      </c>
      <c r="C33" s="212"/>
      <c r="D33" s="58">
        <f>IFERROR(INDEX(Table2[2025-26 Student Location Factor], MATCH($D$6,Table2[SD Number], 0)), "Select SD# Above")</f>
        <v>2677601</v>
      </c>
      <c r="E33" s="152"/>
      <c r="F33" s="32"/>
      <c r="G33" s="6"/>
      <c r="H33" s="34"/>
      <c r="I33" s="34"/>
      <c r="J33" s="11" t="s">
        <v>20</v>
      </c>
      <c r="L33" s="2"/>
    </row>
    <row r="34" spans="1:12" ht="18.75" customHeight="1" x14ac:dyDescent="0.3">
      <c r="A34" s="27"/>
      <c r="B34" s="94" t="s">
        <v>33</v>
      </c>
      <c r="C34" s="95"/>
      <c r="D34" s="58">
        <f>IFERROR(INDEX(Table2[2025-26 Supplemental
Student Location
Factor Funding], MATCH($D$6,Table2[SD Number], 0)), "Select SD# Above")</f>
        <v>439000</v>
      </c>
      <c r="E34" s="152"/>
      <c r="F34" s="60"/>
      <c r="G34" s="7"/>
      <c r="H34" s="34"/>
      <c r="I34" s="34"/>
      <c r="J34" s="11" t="s">
        <v>20</v>
      </c>
      <c r="L34" s="2" t="s">
        <v>20</v>
      </c>
    </row>
    <row r="35" spans="1:12" ht="28.2" customHeight="1" x14ac:dyDescent="0.3">
      <c r="A35" s="27"/>
      <c r="B35" s="66" t="s">
        <v>34</v>
      </c>
      <c r="C35" s="96"/>
      <c r="D35" s="58">
        <f>IFERROR(INDEX(Table2[2025-26 Student Transportation Fund], MATCH($D$6,Table2[SD Number], 0)), "Select SD# Above")</f>
        <v>361459</v>
      </c>
      <c r="E35" s="152"/>
      <c r="F35" s="32"/>
      <c r="G35" s="6"/>
      <c r="H35" s="34"/>
      <c r="I35" s="91">
        <v>15000</v>
      </c>
      <c r="J35" s="11" t="s">
        <v>20</v>
      </c>
      <c r="L35" s="11" t="s">
        <v>20</v>
      </c>
    </row>
    <row r="36" spans="1:12" ht="28.2" customHeight="1" x14ac:dyDescent="0.3">
      <c r="A36" s="27"/>
      <c r="B36" s="66" t="s">
        <v>87</v>
      </c>
      <c r="C36" s="32"/>
      <c r="D36" s="91"/>
      <c r="E36" s="153"/>
      <c r="F36" s="32"/>
      <c r="G36" s="6"/>
      <c r="H36" s="34"/>
      <c r="I36" s="91">
        <f>D36</f>
        <v>0</v>
      </c>
    </row>
    <row r="37" spans="1:12" ht="28.2" customHeight="1" x14ac:dyDescent="0.3">
      <c r="A37" s="27"/>
      <c r="B37" s="35" t="s">
        <v>35</v>
      </c>
      <c r="C37" s="32"/>
      <c r="D37" s="37">
        <f>SUM(D31,D35,D36)</f>
        <v>80981564</v>
      </c>
      <c r="E37" s="76"/>
      <c r="F37" s="32"/>
      <c r="G37" s="36"/>
      <c r="H37" s="38" t="s">
        <v>20</v>
      </c>
      <c r="I37" s="37">
        <f>SUM(I31+I35+I36)</f>
        <v>136666</v>
      </c>
      <c r="L37" s="39" t="s">
        <v>20</v>
      </c>
    </row>
    <row r="38" spans="1:12" ht="15" customHeight="1" x14ac:dyDescent="0.3">
      <c r="A38" s="40"/>
      <c r="B38" s="40"/>
      <c r="C38" s="40"/>
      <c r="D38" s="40"/>
      <c r="E38" s="40"/>
      <c r="F38" s="40"/>
      <c r="G38" s="40"/>
      <c r="H38" s="40"/>
      <c r="I38" s="40"/>
    </row>
    <row r="39" spans="1:12" ht="42" customHeight="1" x14ac:dyDescent="0.3">
      <c r="A39" s="196" t="s">
        <v>88</v>
      </c>
      <c r="B39" s="196"/>
      <c r="C39" s="196"/>
      <c r="D39" s="196"/>
      <c r="E39" s="196"/>
      <c r="F39" s="196"/>
      <c r="G39" s="196"/>
      <c r="H39" s="196"/>
      <c r="I39" s="27"/>
    </row>
    <row r="40" spans="1:12" ht="47.25" customHeight="1" x14ac:dyDescent="0.3">
      <c r="A40" s="197"/>
      <c r="B40" s="198"/>
      <c r="C40" s="198"/>
      <c r="D40" s="198"/>
      <c r="E40" s="198"/>
      <c r="F40" s="198"/>
      <c r="G40" s="198"/>
      <c r="H40" s="199"/>
      <c r="I40" s="84" t="str">
        <f>IF(I37&gt;=H27,"Yes","No, please explain in space provided to left")</f>
        <v>Yes</v>
      </c>
    </row>
    <row r="41" spans="1:12" ht="11.25" customHeight="1" x14ac:dyDescent="0.3">
      <c r="A41" s="40"/>
      <c r="B41" s="40"/>
      <c r="C41" s="40"/>
      <c r="D41" s="40"/>
      <c r="E41" s="40"/>
      <c r="F41" s="40"/>
      <c r="G41" s="40"/>
      <c r="H41" s="40"/>
      <c r="I41" s="40"/>
    </row>
    <row r="42" spans="1:12" ht="45.6" customHeight="1" x14ac:dyDescent="0.3">
      <c r="A42" s="204" t="s">
        <v>89</v>
      </c>
      <c r="B42" s="204"/>
      <c r="C42" s="204"/>
      <c r="D42" s="47" t="s">
        <v>90</v>
      </c>
      <c r="E42" s="47"/>
      <c r="F42" s="47" t="s">
        <v>91</v>
      </c>
      <c r="G42" s="47" t="s">
        <v>92</v>
      </c>
      <c r="H42" s="47" t="s">
        <v>93</v>
      </c>
      <c r="I42" s="47" t="s">
        <v>94</v>
      </c>
      <c r="K42" s="1"/>
    </row>
    <row r="43" spans="1:12" ht="28.2" customHeight="1" x14ac:dyDescent="0.3">
      <c r="A43" s="13"/>
      <c r="B43" s="205" t="s">
        <v>95</v>
      </c>
      <c r="C43" s="205"/>
      <c r="D43" s="56">
        <f>IFERROR(INDEX(Table2[2024-25 BCTEA To/from Carryover], MATCH($D$6,Table2[SD Number], 0)), "Select SD# Above")</f>
        <v>34400</v>
      </c>
      <c r="E43" s="56"/>
      <c r="F43" s="56">
        <f>IFERROR(INDEX(Table2[2025-26 BCTEA Approved], MATCH($D$6,Table2[SD Number], 0)), "Select SD# Above")</f>
        <v>39787</v>
      </c>
      <c r="G43" s="48">
        <f>F43</f>
        <v>39787</v>
      </c>
      <c r="H43" s="92">
        <v>39787</v>
      </c>
      <c r="I43" s="119">
        <f>MAX(0,G43-H43)</f>
        <v>0</v>
      </c>
      <c r="J43" s="11" t="s">
        <v>20</v>
      </c>
      <c r="K43" s="39"/>
    </row>
    <row r="44" spans="1:12" ht="28.2" customHeight="1" x14ac:dyDescent="0.3">
      <c r="A44" s="13"/>
      <c r="B44" s="206" t="s">
        <v>96</v>
      </c>
      <c r="C44" s="206"/>
      <c r="D44" s="56">
        <f>IFERROR(INDEX(Table2[2024-25 BCTEA Shelter Carryover  - REMAINING AFTER REPURPOSING], MATCH($D$6,Table2[SD Number], 0)), "Select SD# Above")</f>
        <v>0</v>
      </c>
      <c r="E44" s="56"/>
      <c r="F44" s="56">
        <v>0</v>
      </c>
      <c r="G44" s="48">
        <f xml:space="preserve"> SUM(D44,F44)</f>
        <v>0</v>
      </c>
      <c r="H44" s="92"/>
      <c r="I44" s="119">
        <f t="shared" ref="I44" si="1">MAX(0,G44-H44)</f>
        <v>0</v>
      </c>
    </row>
    <row r="45" spans="1:12" ht="28.2" customHeight="1" x14ac:dyDescent="0.3">
      <c r="A45" s="13"/>
      <c r="B45" s="207" t="s">
        <v>97</v>
      </c>
      <c r="C45" s="207"/>
      <c r="D45" s="56">
        <f>IFERROR(INDEX(Table2[2024-25 BCTEA EX Carryover - REMAINING AFTER REPURPOSING], MATCH($D$6,Table2[SD Number], 0)), "Select SD# Above")</f>
        <v>0</v>
      </c>
      <c r="E45" s="56"/>
      <c r="F45" s="56">
        <f>IFERROR(INDEX(Table2[2025-26 EX Allocation], MATCH($D$6,Table2[SD Number], 0)), "Select SD# Above")</f>
        <v>3525</v>
      </c>
      <c r="G45" s="48">
        <f>IFERROR(INDEX(Table2[Total EX Funds Available for 2024-2025], MATCH($D$6,Table2[SD Number], 0)), "Select SD# Above")</f>
        <v>11710</v>
      </c>
      <c r="H45" s="92">
        <v>10000</v>
      </c>
      <c r="I45" s="119">
        <f>MAX(0,G45-H45)</f>
        <v>1710</v>
      </c>
    </row>
    <row r="46" spans="1:12" ht="28.2" customHeight="1" x14ac:dyDescent="0.3">
      <c r="A46" s="13"/>
      <c r="B46" s="206" t="s">
        <v>98</v>
      </c>
      <c r="C46" s="206"/>
      <c r="D46" s="63">
        <f>SUM(D43:D45)</f>
        <v>34400</v>
      </c>
      <c r="E46" s="63"/>
      <c r="F46" s="63">
        <f>SUM(F43:F45)</f>
        <v>43312</v>
      </c>
      <c r="G46" s="63">
        <f t="shared" ref="G46:I46" si="2">SUM(G43:G45)</f>
        <v>51497</v>
      </c>
      <c r="H46" s="63">
        <f t="shared" si="2"/>
        <v>49787</v>
      </c>
      <c r="I46" s="120">
        <f t="shared" si="2"/>
        <v>1710</v>
      </c>
    </row>
    <row r="47" spans="1:12" ht="14.4" x14ac:dyDescent="0.3">
      <c r="A47" s="64"/>
      <c r="B47" s="42"/>
      <c r="C47" s="43"/>
      <c r="D47" s="43"/>
      <c r="E47" s="43"/>
      <c r="F47" s="43"/>
      <c r="G47" s="43"/>
      <c r="H47" s="44"/>
      <c r="I47" s="44"/>
    </row>
    <row r="48" spans="1:12" ht="28.95" customHeight="1" x14ac:dyDescent="0.3">
      <c r="A48" s="49" t="s">
        <v>99</v>
      </c>
      <c r="B48" s="50"/>
      <c r="C48" s="22"/>
      <c r="D48" s="22"/>
      <c r="E48" s="22"/>
      <c r="F48" s="51"/>
      <c r="G48" s="51"/>
      <c r="H48" s="51"/>
      <c r="I48" s="52">
        <f>SUM($H$46, $I$37)</f>
        <v>186453</v>
      </c>
    </row>
    <row r="49" spans="1:12" ht="14.25" customHeight="1" x14ac:dyDescent="0.3">
      <c r="A49" s="41"/>
      <c r="B49" s="42"/>
      <c r="C49" s="43"/>
      <c r="D49" s="43"/>
      <c r="E49" s="43"/>
      <c r="F49" s="43"/>
      <c r="G49" s="43"/>
      <c r="H49" s="44"/>
      <c r="I49" s="45"/>
      <c r="K49" s="46"/>
      <c r="L49" s="46"/>
    </row>
    <row r="50" spans="1:12" ht="34.950000000000003" customHeight="1" x14ac:dyDescent="0.3">
      <c r="A50" s="200" t="s">
        <v>100</v>
      </c>
      <c r="B50" s="200"/>
      <c r="C50" s="200"/>
      <c r="D50" s="200"/>
      <c r="E50" s="200"/>
      <c r="F50" s="200"/>
      <c r="G50" s="200"/>
      <c r="H50" s="200"/>
      <c r="I50" s="13"/>
      <c r="K50" s="11" t="s">
        <v>20</v>
      </c>
    </row>
    <row r="51" spans="1:12" ht="45.75" customHeight="1" x14ac:dyDescent="0.3">
      <c r="A51" s="201"/>
      <c r="B51" s="202"/>
      <c r="C51" s="202"/>
      <c r="D51" s="202"/>
      <c r="E51" s="202"/>
      <c r="F51" s="202"/>
      <c r="G51" s="202"/>
      <c r="H51" s="203"/>
      <c r="I51" s="13"/>
      <c r="K51" s="11" t="s">
        <v>20</v>
      </c>
    </row>
    <row r="52" spans="1:12" ht="14.25" customHeight="1" x14ac:dyDescent="0.3">
      <c r="A52" s="41"/>
      <c r="B52" s="42"/>
      <c r="C52" s="43"/>
      <c r="D52" s="43"/>
      <c r="E52" s="43"/>
      <c r="F52" s="43"/>
      <c r="G52" s="43"/>
      <c r="H52" s="44"/>
      <c r="I52" s="45"/>
      <c r="K52" s="46"/>
      <c r="L52" s="46"/>
    </row>
    <row r="53" spans="1:12" ht="14.4" x14ac:dyDescent="0.3">
      <c r="A53" s="8"/>
      <c r="B53" s="8"/>
      <c r="C53" s="8"/>
      <c r="D53" s="8"/>
      <c r="E53" s="8"/>
      <c r="F53" s="8"/>
      <c r="G53" s="8"/>
    </row>
    <row r="54" spans="1:12" ht="14.7" customHeight="1" x14ac:dyDescent="0.3">
      <c r="A54" s="8"/>
      <c r="F54" s="9"/>
      <c r="G54" s="9"/>
    </row>
    <row r="55" spans="1:12" ht="81.75" customHeight="1" x14ac:dyDescent="0.3">
      <c r="A55" s="8"/>
      <c r="B55" s="194"/>
      <c r="C55" s="194"/>
      <c r="D55" s="59"/>
      <c r="E55" s="59"/>
      <c r="F55" s="194"/>
      <c r="G55" s="194"/>
      <c r="H55" s="194"/>
      <c r="I55" s="194"/>
      <c r="J55" s="11" t="s">
        <v>20</v>
      </c>
    </row>
    <row r="56" spans="1:12" ht="14.4" x14ac:dyDescent="0.3">
      <c r="A56" s="8"/>
      <c r="C56" s="74"/>
      <c r="F56" s="195"/>
      <c r="G56" s="195"/>
      <c r="H56" s="195"/>
      <c r="I56" s="74"/>
    </row>
    <row r="57" spans="1:12" ht="14.7" customHeight="1" x14ac:dyDescent="0.3">
      <c r="A57" s="8"/>
      <c r="B57" s="9"/>
      <c r="C57" s="9"/>
      <c r="D57" s="9"/>
      <c r="E57" s="9"/>
      <c r="F57" s="195"/>
      <c r="G57" s="195"/>
      <c r="H57" s="195"/>
      <c r="I57" s="9"/>
    </row>
    <row r="58" spans="1:12" ht="15" customHeight="1" x14ac:dyDescent="0.3">
      <c r="A58" s="8"/>
      <c r="B58" s="9"/>
      <c r="C58" s="9"/>
      <c r="D58" s="9" t="s">
        <v>20</v>
      </c>
      <c r="E58" s="9"/>
      <c r="F58" s="9"/>
      <c r="G58" s="9"/>
      <c r="H58" s="9"/>
      <c r="I58" s="9"/>
      <c r="K58" s="11" t="s">
        <v>20</v>
      </c>
    </row>
    <row r="59" spans="1:12" ht="14.7" customHeight="1" x14ac:dyDescent="0.3">
      <c r="A59" s="8"/>
      <c r="B59" s="9"/>
      <c r="C59" s="9"/>
      <c r="D59" s="9"/>
      <c r="E59" s="9"/>
      <c r="F59" s="9"/>
      <c r="G59" s="9"/>
      <c r="H59" s="9"/>
      <c r="I59" s="9"/>
    </row>
    <row r="60" spans="1:12" ht="14.7" customHeight="1" x14ac:dyDescent="0.3">
      <c r="A60" s="8"/>
      <c r="B60" s="9"/>
      <c r="C60" s="9"/>
      <c r="D60" s="9"/>
      <c r="E60" s="9"/>
      <c r="F60" s="9"/>
      <c r="G60" s="9"/>
      <c r="H60" s="9"/>
      <c r="I60" s="9"/>
    </row>
    <row r="61" spans="1:12" ht="14.4" x14ac:dyDescent="0.3">
      <c r="A61" s="8"/>
      <c r="B61" s="8"/>
      <c r="C61" s="8"/>
      <c r="D61" s="8"/>
      <c r="E61" s="8"/>
      <c r="F61" s="8"/>
      <c r="G61" s="8"/>
      <c r="H61" s="8"/>
      <c r="I61" s="8"/>
    </row>
    <row r="62" spans="1:12" ht="15.6" x14ac:dyDescent="0.3">
      <c r="A62" s="8"/>
      <c r="B62" s="9"/>
      <c r="C62" s="9"/>
      <c r="D62" s="9" t="s">
        <v>20</v>
      </c>
      <c r="E62" s="9"/>
      <c r="F62" s="9"/>
      <c r="G62" s="9"/>
      <c r="H62" s="9"/>
      <c r="I62" s="9"/>
    </row>
    <row r="63" spans="1:12" ht="15.6" x14ac:dyDescent="0.3">
      <c r="A63" s="8"/>
      <c r="B63" s="9"/>
      <c r="C63" s="9"/>
      <c r="D63" s="9" t="s">
        <v>20</v>
      </c>
      <c r="E63" s="9"/>
      <c r="F63" s="9"/>
      <c r="G63" s="9"/>
      <c r="H63" s="9"/>
      <c r="I63" s="9"/>
    </row>
    <row r="64" spans="1:12" ht="15.6" x14ac:dyDescent="0.3">
      <c r="A64" s="8"/>
      <c r="B64" s="9"/>
      <c r="C64" s="9"/>
      <c r="D64" s="8"/>
      <c r="E64" s="8"/>
      <c r="F64" s="9"/>
      <c r="G64" s="9"/>
      <c r="H64" s="9"/>
      <c r="I64" s="9"/>
    </row>
    <row r="65" spans="1:9" ht="14.4" x14ac:dyDescent="0.3">
      <c r="A65" s="8"/>
      <c r="B65" s="8"/>
      <c r="C65" s="8"/>
      <c r="D65" s="8"/>
      <c r="E65" s="8"/>
      <c r="F65" s="8"/>
      <c r="G65" s="8"/>
    </row>
    <row r="66" spans="1:9" ht="78.75" customHeight="1" x14ac:dyDescent="0.3">
      <c r="A66" s="8"/>
      <c r="B66" s="194"/>
      <c r="C66" s="194"/>
      <c r="D66" s="8"/>
      <c r="E66" s="8"/>
      <c r="F66" s="194"/>
      <c r="G66" s="194"/>
      <c r="H66" s="194"/>
      <c r="I66" s="194"/>
    </row>
    <row r="67" spans="1:9" ht="15" customHeight="1" x14ac:dyDescent="0.3">
      <c r="A67" s="8"/>
      <c r="C67" s="74"/>
      <c r="D67" s="8"/>
      <c r="E67" s="8"/>
      <c r="F67" s="195"/>
      <c r="G67" s="195"/>
      <c r="H67" s="195"/>
      <c r="I67" s="74"/>
    </row>
    <row r="68" spans="1:9" ht="15.6" x14ac:dyDescent="0.3">
      <c r="A68" s="8"/>
      <c r="B68" s="9"/>
      <c r="C68" s="9"/>
      <c r="D68" s="8"/>
      <c r="E68" s="8"/>
      <c r="F68" s="195"/>
      <c r="G68" s="195"/>
      <c r="H68" s="195"/>
      <c r="I68" s="9"/>
    </row>
    <row r="69" spans="1:9" ht="15.6" x14ac:dyDescent="0.3">
      <c r="A69" s="8"/>
      <c r="B69" s="9"/>
      <c r="C69" s="9"/>
      <c r="D69" s="8"/>
      <c r="E69" s="8"/>
      <c r="F69" s="9"/>
      <c r="G69" s="9"/>
      <c r="H69" s="9"/>
      <c r="I69" s="9"/>
    </row>
    <row r="70" spans="1:9" ht="15.6" x14ac:dyDescent="0.3">
      <c r="A70" s="8"/>
      <c r="B70" s="9"/>
      <c r="C70" s="9"/>
      <c r="D70" s="8"/>
      <c r="E70" s="8"/>
      <c r="F70" s="9"/>
      <c r="G70" s="9"/>
      <c r="H70" s="9"/>
      <c r="I70" s="9"/>
    </row>
    <row r="71" spans="1:9" ht="15.6" x14ac:dyDescent="0.3">
      <c r="A71" s="8"/>
      <c r="B71" s="9"/>
      <c r="C71" s="9"/>
      <c r="D71" s="8"/>
      <c r="E71" s="8"/>
      <c r="F71" s="9"/>
      <c r="G71" s="9"/>
      <c r="H71" s="9"/>
      <c r="I71" s="9"/>
    </row>
    <row r="72" spans="1:9" ht="14.7" customHeight="1" x14ac:dyDescent="0.3">
      <c r="A72" s="8"/>
      <c r="B72" s="8"/>
      <c r="C72" s="8"/>
      <c r="D72" s="8"/>
      <c r="E72" s="8"/>
      <c r="F72" s="8"/>
      <c r="G72" s="8"/>
      <c r="H72" s="8"/>
      <c r="I72" s="8"/>
    </row>
    <row r="73" spans="1:9" ht="15.6" x14ac:dyDescent="0.3">
      <c r="A73" s="8"/>
      <c r="B73" s="9"/>
      <c r="C73" s="9"/>
      <c r="D73" s="8"/>
      <c r="E73" s="8"/>
      <c r="F73" s="9"/>
      <c r="G73" s="9"/>
      <c r="H73" s="9"/>
      <c r="I73" s="9"/>
    </row>
    <row r="74" spans="1:9" ht="15.6" x14ac:dyDescent="0.3">
      <c r="A74" s="8"/>
      <c r="B74" s="9"/>
      <c r="C74" s="9"/>
      <c r="D74" s="8"/>
      <c r="E74" s="8"/>
      <c r="F74" s="9"/>
      <c r="G74" s="9"/>
      <c r="H74" s="9"/>
      <c r="I74" s="9"/>
    </row>
    <row r="75" spans="1:9" ht="15.6" x14ac:dyDescent="0.3">
      <c r="A75" s="8"/>
      <c r="B75" s="9"/>
      <c r="C75" s="9"/>
      <c r="D75" s="8"/>
      <c r="E75" s="8"/>
      <c r="F75" s="9"/>
      <c r="G75" s="9"/>
      <c r="H75" s="9"/>
      <c r="I75" s="9"/>
    </row>
    <row r="76" spans="1:9" ht="14.4" x14ac:dyDescent="0.3">
      <c r="A76" s="8"/>
      <c r="B76" s="8"/>
      <c r="C76" s="8"/>
      <c r="D76" s="8"/>
      <c r="E76" s="8"/>
      <c r="F76" s="8"/>
      <c r="G76" s="8"/>
    </row>
    <row r="77" spans="1:9" ht="80.25" customHeight="1" x14ac:dyDescent="0.3">
      <c r="A77" s="8"/>
      <c r="B77" s="194"/>
      <c r="C77" s="194"/>
      <c r="D77" s="8"/>
      <c r="E77" s="8"/>
      <c r="F77" s="194"/>
      <c r="G77" s="194"/>
      <c r="H77" s="194"/>
      <c r="I77" s="194"/>
    </row>
    <row r="78" spans="1:9" ht="14.4" x14ac:dyDescent="0.3">
      <c r="A78" s="8"/>
      <c r="C78" s="74"/>
      <c r="D78" s="8"/>
      <c r="E78" s="8"/>
      <c r="F78" s="195"/>
      <c r="G78" s="195"/>
      <c r="H78" s="195"/>
      <c r="I78" s="74"/>
    </row>
    <row r="79" spans="1:9" ht="15.6" x14ac:dyDescent="0.3">
      <c r="A79" s="8"/>
      <c r="B79" s="9"/>
      <c r="C79" s="9"/>
      <c r="D79" s="8"/>
      <c r="E79" s="8"/>
      <c r="F79" s="195"/>
      <c r="G79" s="195"/>
      <c r="H79" s="195"/>
      <c r="I79" s="9"/>
    </row>
    <row r="80" spans="1:9" ht="15.6" x14ac:dyDescent="0.3">
      <c r="A80" s="8"/>
      <c r="B80" s="9"/>
      <c r="C80" s="9"/>
      <c r="D80" s="8"/>
      <c r="E80" s="8"/>
      <c r="F80" s="9"/>
      <c r="G80" s="9"/>
      <c r="H80" s="9"/>
      <c r="I80" s="9"/>
    </row>
    <row r="81" spans="1:13" ht="15.6" x14ac:dyDescent="0.3">
      <c r="A81" s="8"/>
      <c r="B81" s="9"/>
      <c r="C81" s="9"/>
      <c r="D81" s="8"/>
      <c r="E81" s="8"/>
      <c r="F81" s="9"/>
      <c r="G81" s="9"/>
      <c r="H81" s="9"/>
      <c r="I81" s="9"/>
    </row>
    <row r="82" spans="1:13" ht="61.5" customHeight="1" x14ac:dyDescent="0.3">
      <c r="A82" s="8"/>
      <c r="B82" s="9"/>
      <c r="C82" s="9"/>
      <c r="D82" s="8"/>
      <c r="E82" s="8"/>
      <c r="F82" s="9"/>
      <c r="G82" s="9"/>
      <c r="H82" s="9"/>
      <c r="I82" s="9"/>
    </row>
    <row r="83" spans="1:13" ht="14.4" x14ac:dyDescent="0.3">
      <c r="A83" s="8"/>
      <c r="B83" s="8"/>
      <c r="C83" s="8"/>
      <c r="D83" s="8"/>
      <c r="E83" s="8"/>
      <c r="F83" s="8"/>
      <c r="G83" s="8"/>
      <c r="H83" s="8"/>
      <c r="I83" s="8"/>
    </row>
    <row r="84" spans="1:13" ht="15.6" x14ac:dyDescent="0.3">
      <c r="A84" s="8"/>
      <c r="B84" s="9"/>
      <c r="C84" s="9"/>
      <c r="D84" s="8"/>
      <c r="E84" s="8"/>
      <c r="F84" s="9"/>
      <c r="G84" s="9"/>
      <c r="H84" s="9"/>
      <c r="I84" s="9"/>
    </row>
    <row r="85" spans="1:13" ht="15.6" x14ac:dyDescent="0.3">
      <c r="B85" s="9"/>
      <c r="C85" s="9"/>
      <c r="F85" s="9"/>
      <c r="G85" s="9"/>
      <c r="H85" s="9"/>
      <c r="I85" s="9"/>
    </row>
    <row r="86" spans="1:13" s="53" customFormat="1" ht="15.6" x14ac:dyDescent="0.3">
      <c r="A86" s="11"/>
      <c r="B86" s="9"/>
      <c r="C86" s="9"/>
      <c r="D86" s="54"/>
      <c r="E86" s="54"/>
      <c r="F86" s="9"/>
      <c r="G86" s="9"/>
      <c r="H86" s="9"/>
      <c r="I86" s="9"/>
      <c r="J86" s="11"/>
      <c r="K86" s="11"/>
      <c r="L86" s="11"/>
      <c r="M86" s="11"/>
    </row>
    <row r="87" spans="1:13" s="53" customFormat="1" ht="14.4" x14ac:dyDescent="0.3">
      <c r="A87" s="11"/>
      <c r="B87" s="8"/>
      <c r="C87" s="8"/>
      <c r="F87" s="74"/>
      <c r="G87" s="74"/>
      <c r="H87" s="11"/>
      <c r="I87" s="11"/>
      <c r="J87" s="11"/>
      <c r="K87" s="11"/>
      <c r="L87" s="11"/>
      <c r="M87" s="11"/>
    </row>
    <row r="88" spans="1:13" ht="84" customHeight="1" x14ac:dyDescent="0.3">
      <c r="B88" s="194"/>
      <c r="C88" s="194"/>
      <c r="F88" s="194"/>
      <c r="G88" s="194"/>
      <c r="H88" s="194"/>
      <c r="I88" s="194"/>
    </row>
    <row r="89" spans="1:13" s="53" customFormat="1" ht="14.4" x14ac:dyDescent="0.3">
      <c r="A89" s="11"/>
      <c r="B89" s="11"/>
      <c r="C89" s="74"/>
      <c r="D89" s="54"/>
      <c r="E89" s="54"/>
      <c r="F89" s="195"/>
      <c r="G89" s="195"/>
      <c r="H89" s="195"/>
      <c r="I89" s="74"/>
      <c r="J89" s="11"/>
      <c r="K89" s="11"/>
      <c r="L89" s="11"/>
      <c r="M89" s="11"/>
    </row>
    <row r="90" spans="1:13" s="53" customFormat="1" ht="15.6" x14ac:dyDescent="0.3">
      <c r="A90" s="11"/>
      <c r="B90" s="9"/>
      <c r="C90" s="9"/>
      <c r="F90" s="195"/>
      <c r="G90" s="195"/>
      <c r="H90" s="195"/>
      <c r="I90" s="9"/>
      <c r="J90" s="11"/>
      <c r="K90" s="11"/>
      <c r="L90" s="11"/>
      <c r="M90" s="11"/>
    </row>
    <row r="91" spans="1:13" ht="15.6" x14ac:dyDescent="0.3">
      <c r="B91" s="9"/>
      <c r="C91" s="9"/>
      <c r="F91" s="9"/>
      <c r="G91" s="9"/>
      <c r="H91" s="9"/>
      <c r="I91" s="9"/>
    </row>
    <row r="92" spans="1:13" s="53" customFormat="1" ht="15.6" x14ac:dyDescent="0.3">
      <c r="A92" s="11"/>
      <c r="B92" s="9"/>
      <c r="C92" s="9"/>
      <c r="D92" s="54"/>
      <c r="E92" s="54"/>
      <c r="F92" s="9"/>
      <c r="G92" s="9"/>
      <c r="H92" s="9"/>
      <c r="I92" s="9"/>
      <c r="J92" s="11"/>
      <c r="K92" s="11"/>
      <c r="L92" s="11"/>
      <c r="M92" s="11"/>
    </row>
    <row r="93" spans="1:13" s="53" customFormat="1" ht="14.7" customHeight="1" x14ac:dyDescent="0.3">
      <c r="A93" s="11"/>
      <c r="B93" s="9"/>
      <c r="C93" s="9"/>
      <c r="F93" s="9"/>
      <c r="G93" s="9"/>
      <c r="H93" s="9"/>
      <c r="I93" s="9"/>
      <c r="J93" s="11"/>
      <c r="K93" s="11"/>
      <c r="L93" s="11"/>
      <c r="M93" s="11"/>
    </row>
    <row r="94" spans="1:13" ht="14.4" x14ac:dyDescent="0.3">
      <c r="B94" s="8"/>
      <c r="C94" s="8"/>
      <c r="F94" s="8"/>
      <c r="G94" s="8"/>
      <c r="H94" s="8"/>
      <c r="I94" s="8"/>
    </row>
    <row r="95" spans="1:13" ht="15.6" x14ac:dyDescent="0.3">
      <c r="B95" s="9"/>
      <c r="C95" s="9"/>
      <c r="F95" s="9"/>
      <c r="G95" s="9"/>
      <c r="H95" s="9"/>
      <c r="I95" s="9"/>
    </row>
    <row r="96" spans="1:13" ht="15.6" x14ac:dyDescent="0.3">
      <c r="B96" s="9"/>
      <c r="C96" s="9"/>
      <c r="F96" s="9"/>
      <c r="G96" s="9"/>
      <c r="H96" s="9"/>
      <c r="I96" s="9"/>
    </row>
    <row r="97" spans="2:9" ht="15.6" x14ac:dyDescent="0.3">
      <c r="B97" s="9"/>
      <c r="C97" s="9"/>
      <c r="F97" s="9"/>
      <c r="G97" s="9"/>
      <c r="H97" s="9"/>
      <c r="I97" s="9"/>
    </row>
    <row r="98" spans="2:9" ht="14.4" x14ac:dyDescent="0.3">
      <c r="C98" s="74"/>
      <c r="F98" s="74"/>
      <c r="G98" s="74"/>
    </row>
    <row r="99" spans="2:9" ht="14.4" x14ac:dyDescent="0.3">
      <c r="F99" s="74"/>
      <c r="G99" s="74"/>
    </row>
  </sheetData>
  <sheetProtection formatRows="0" selectLockedCells="1"/>
  <protectedRanges>
    <protectedRange sqref="H43:H45 A51" name="Range5"/>
    <protectedRange sqref="I28 H32:I35 I31" name="Range4"/>
    <protectedRange sqref="A13:H22" name="Range2"/>
    <protectedRange sqref="D6:E6 D8:E9" name="Range1"/>
    <protectedRange sqref="H36:I36" name="Range4_2"/>
  </protectedRanges>
  <mergeCells count="49">
    <mergeCell ref="B9:C9"/>
    <mergeCell ref="C1:I1"/>
    <mergeCell ref="A2:I2"/>
    <mergeCell ref="A3:I3"/>
    <mergeCell ref="B6:C6"/>
    <mergeCell ref="B8:C8"/>
    <mergeCell ref="A15:H15"/>
    <mergeCell ref="A16:H16"/>
    <mergeCell ref="A17:H17"/>
    <mergeCell ref="A18:H18"/>
    <mergeCell ref="A12:I12"/>
    <mergeCell ref="A13:H13"/>
    <mergeCell ref="A14:H14"/>
    <mergeCell ref="B27:G27"/>
    <mergeCell ref="A29:C29"/>
    <mergeCell ref="J31:K32"/>
    <mergeCell ref="B33:C33"/>
    <mergeCell ref="A19:H19"/>
    <mergeCell ref="A20:H20"/>
    <mergeCell ref="A21:H21"/>
    <mergeCell ref="A22:H22"/>
    <mergeCell ref="A24:F24"/>
    <mergeCell ref="B25:D25"/>
    <mergeCell ref="B26:D26"/>
    <mergeCell ref="F89:H89"/>
    <mergeCell ref="F90:H90"/>
    <mergeCell ref="B66:C66"/>
    <mergeCell ref="F66:I66"/>
    <mergeCell ref="F67:H67"/>
    <mergeCell ref="B88:C88"/>
    <mergeCell ref="F88:I88"/>
    <mergeCell ref="B77:C77"/>
    <mergeCell ref="F77:I77"/>
    <mergeCell ref="F78:H78"/>
    <mergeCell ref="F79:H79"/>
    <mergeCell ref="A39:H39"/>
    <mergeCell ref="A40:H40"/>
    <mergeCell ref="A50:H50"/>
    <mergeCell ref="A51:H51"/>
    <mergeCell ref="A42:C42"/>
    <mergeCell ref="B43:C43"/>
    <mergeCell ref="B44:C44"/>
    <mergeCell ref="B45:C45"/>
    <mergeCell ref="B46:C46"/>
    <mergeCell ref="B55:C55"/>
    <mergeCell ref="F55:I55"/>
    <mergeCell ref="F56:H56"/>
    <mergeCell ref="F57:H57"/>
    <mergeCell ref="F68:H68"/>
  </mergeCells>
  <conditionalFormatting sqref="D86:E86 D89:E89 D92:E92">
    <cfRule type="cellIs" dxfId="1" priority="2" stopIfTrue="1" operator="equal">
      <formula>"ERROR"</formula>
    </cfRule>
  </conditionalFormatting>
  <conditionalFormatting sqref="H6:H7">
    <cfRule type="cellIs" dxfId="0" priority="1" operator="equal">
      <formula>"ERROR - Please Seect from the drop down menue to the left."</formula>
    </cfRule>
  </conditionalFormatting>
  <dataValidations count="3">
    <dataValidation type="decimal" operator="greaterThanOrEqual" allowBlank="1" showInputMessage="1" showErrorMessage="1" sqref="H43:H45 I28" xr:uid="{53B74E6E-2B37-4199-BC78-B7EDB64DFE56}">
      <formula1>0</formula1>
    </dataValidation>
    <dataValidation type="whole" operator="greaterThan" allowBlank="1" showInputMessage="1" showErrorMessage="1" sqref="I32:I34" xr:uid="{35B70638-2019-400E-9508-C7D26BF9CD08}">
      <formula1>0</formula1>
    </dataValidation>
    <dataValidation type="whole" operator="greaterThanOrEqual" allowBlank="1" showInputMessage="1" showErrorMessage="1" sqref="I35:I36 I31" xr:uid="{5228874D-9E17-4B0A-A036-5537555FDB01}">
      <formula1>0</formula1>
    </dataValidation>
  </dataValidations>
  <hyperlinks>
    <hyperlink ref="B34" r:id="rId1" location="page=16" xr:uid="{FE68D4FC-37AF-4FEC-B899-2311620FBB83}"/>
    <hyperlink ref="B31" r:id="rId2" xr:uid="{32E47ECB-BE48-4D03-BCC8-3711AAA617DD}"/>
    <hyperlink ref="B33" r:id="rId3" location="page=14" display=" Student Location Factor (SLF) " xr:uid="{BC1FAB82-D854-47A9-8DAA-E32A56A086DD}"/>
    <hyperlink ref="B26" location="'(3) Reference STF-SLF-SSLF'!A1" display="From within the FNSR, the transportation portion derived from the SLF, SSLF, and STF" xr:uid="{80F60776-1C33-49B2-834A-0C8A14BB6523}"/>
    <hyperlink ref="B26:D26" location="'(3) Reference STF-SLF-SSLF'!A1" display="Transportation portion (SLF, SSLF, and STF) per student from the FNSR" xr:uid="{18898C21-4FBE-4E87-BDF9-63E04BA0B118}"/>
    <hyperlink ref="B33:C33" r:id="rId4" location="page=15" display=" Student Location Factor (SLF)" xr:uid="{DB0149FE-BF74-4FC7-B8D4-259E2CE9FC43}"/>
  </hyperlinks>
  <printOptions horizontalCentered="1"/>
  <pageMargins left="0" right="0" top="0.59055118110236227" bottom="0.59055118110236227" header="0" footer="0"/>
  <pageSetup scale="57" orientation="portrait" r:id="rId5"/>
  <rowBreaks count="1" manualBreakCount="1">
    <brk id="30" max="7" man="1"/>
  </rowBreak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8A5A3CF-CB7E-4BD6-A721-A00C035910AB}">
          <x14:formula1>
            <xm:f>'Auto Populate Table'!$A$2:$A$62</xm:f>
          </x14:formula1>
          <xm:sqref>D6:E6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0BB4-3813-4619-A530-B59508CA8F18}">
  <sheetPr>
    <pageSetUpPr fitToPage="1"/>
  </sheetPr>
  <dimension ref="A1:T68"/>
  <sheetViews>
    <sheetView zoomScaleNormal="100" workbookViewId="0">
      <pane ySplit="6" topLeftCell="A7" activePane="bottomLeft" state="frozen"/>
      <selection pane="bottomLeft" sqref="A1:XFD1048576"/>
    </sheetView>
  </sheetViews>
  <sheetFormatPr defaultColWidth="8.6640625" defaultRowHeight="14.4" x14ac:dyDescent="0.3"/>
  <cols>
    <col min="1" max="1" width="36.88671875" style="1" bestFit="1" customWidth="1"/>
    <col min="2" max="3" width="14.6640625" style="1" customWidth="1"/>
    <col min="4" max="4" width="2.6640625" style="1" customWidth="1"/>
    <col min="5" max="7" width="14.6640625" style="1" customWidth="1"/>
    <col min="8" max="8" width="2.6640625" style="1" customWidth="1"/>
    <col min="9" max="11" width="14.6640625" style="1" customWidth="1"/>
    <col min="12" max="12" width="2.6640625" style="1" customWidth="1"/>
    <col min="13" max="15" width="14.6640625" style="1" customWidth="1"/>
    <col min="16" max="16" width="2.6640625" style="1" customWidth="1"/>
    <col min="17" max="20" width="14.6640625" style="1" customWidth="1"/>
    <col min="21" max="16384" width="8.6640625" style="1"/>
  </cols>
  <sheetData>
    <row r="1" spans="1:20" ht="24" customHeight="1" x14ac:dyDescent="0.3">
      <c r="A1" s="224" t="s">
        <v>101</v>
      </c>
      <c r="B1" s="224"/>
      <c r="C1" s="224"/>
      <c r="D1" s="224"/>
      <c r="E1" s="224"/>
      <c r="F1" s="224"/>
      <c r="G1" s="224"/>
      <c r="H1" s="224"/>
      <c r="I1" s="224"/>
      <c r="J1" s="224"/>
      <c r="K1" s="224"/>
      <c r="L1" s="224"/>
      <c r="M1" s="224"/>
      <c r="N1" s="224"/>
      <c r="O1" s="224"/>
      <c r="P1" s="130"/>
      <c r="Q1" s="230" t="s">
        <v>102</v>
      </c>
      <c r="R1" s="230"/>
      <c r="S1" s="99"/>
      <c r="T1" s="99"/>
    </row>
    <row r="3" spans="1:20" x14ac:dyDescent="0.3">
      <c r="A3" s="97"/>
      <c r="B3" s="98"/>
      <c r="C3" s="98" t="s">
        <v>103</v>
      </c>
      <c r="E3" s="225" t="s">
        <v>104</v>
      </c>
      <c r="F3" s="226"/>
      <c r="G3" s="227"/>
      <c r="H3" s="99"/>
      <c r="I3" s="225" t="s">
        <v>105</v>
      </c>
      <c r="J3" s="226"/>
      <c r="K3" s="227"/>
      <c r="L3" s="99"/>
      <c r="M3" s="225" t="s">
        <v>106</v>
      </c>
      <c r="N3" s="226"/>
      <c r="O3" s="227"/>
      <c r="P3" s="99"/>
      <c r="Q3" s="228" t="s">
        <v>107</v>
      </c>
      <c r="R3" s="229"/>
      <c r="S3" s="139"/>
      <c r="T3" s="138"/>
    </row>
    <row r="4" spans="1:20" x14ac:dyDescent="0.3">
      <c r="A4" s="100"/>
      <c r="B4" s="101" t="s">
        <v>107</v>
      </c>
      <c r="C4" s="102" t="s">
        <v>108</v>
      </c>
      <c r="E4" s="98" t="s">
        <v>109</v>
      </c>
      <c r="F4" s="98" t="s">
        <v>5</v>
      </c>
      <c r="G4" s="98" t="s">
        <v>110</v>
      </c>
      <c r="H4" s="99"/>
      <c r="I4" s="98" t="s">
        <v>109</v>
      </c>
      <c r="J4" s="98" t="s">
        <v>5</v>
      </c>
      <c r="K4" s="98" t="s">
        <v>110</v>
      </c>
      <c r="L4" s="99"/>
      <c r="M4" s="98" t="s">
        <v>109</v>
      </c>
      <c r="N4" s="98" t="s">
        <v>5</v>
      </c>
      <c r="O4" s="98" t="s">
        <v>110</v>
      </c>
      <c r="P4" s="99"/>
      <c r="Q4" s="98"/>
      <c r="R4" s="98" t="s">
        <v>111</v>
      </c>
    </row>
    <row r="5" spans="1:20" x14ac:dyDescent="0.3">
      <c r="A5" s="101" t="s">
        <v>112</v>
      </c>
      <c r="B5" s="102" t="s">
        <v>108</v>
      </c>
      <c r="C5" s="102" t="s">
        <v>5</v>
      </c>
      <c r="E5" s="101" t="s">
        <v>113</v>
      </c>
      <c r="F5" s="101" t="s">
        <v>114</v>
      </c>
      <c r="G5" s="101" t="s">
        <v>115</v>
      </c>
      <c r="H5" s="99"/>
      <c r="I5" s="101" t="s">
        <v>113</v>
      </c>
      <c r="J5" s="101" t="s">
        <v>114</v>
      </c>
      <c r="K5" s="101" t="s">
        <v>115</v>
      </c>
      <c r="L5" s="99"/>
      <c r="M5" s="101" t="s">
        <v>113</v>
      </c>
      <c r="N5" s="101" t="s">
        <v>114</v>
      </c>
      <c r="O5" s="101" t="s">
        <v>115</v>
      </c>
      <c r="P5" s="99"/>
      <c r="Q5" s="101" t="s">
        <v>116</v>
      </c>
      <c r="R5" s="101" t="s">
        <v>115</v>
      </c>
    </row>
    <row r="6" spans="1:20" x14ac:dyDescent="0.3">
      <c r="A6" s="103"/>
      <c r="B6" s="101" t="s">
        <v>117</v>
      </c>
      <c r="C6" s="101" t="s">
        <v>118</v>
      </c>
      <c r="E6" s="104"/>
      <c r="F6" s="104" t="s">
        <v>119</v>
      </c>
      <c r="G6" s="104" t="s">
        <v>120</v>
      </c>
      <c r="H6" s="99"/>
      <c r="I6" s="104"/>
      <c r="J6" s="104" t="s">
        <v>121</v>
      </c>
      <c r="K6" s="104" t="s">
        <v>120</v>
      </c>
      <c r="L6" s="99"/>
      <c r="M6" s="104"/>
      <c r="N6" s="104" t="s">
        <v>122</v>
      </c>
      <c r="O6" s="104" t="s">
        <v>120</v>
      </c>
      <c r="P6" s="99"/>
      <c r="Q6" s="104" t="s">
        <v>123</v>
      </c>
      <c r="R6" s="104" t="s">
        <v>120</v>
      </c>
    </row>
    <row r="7" spans="1:20" ht="15" customHeight="1" x14ac:dyDescent="0.3">
      <c r="A7" s="105" t="s">
        <v>124</v>
      </c>
      <c r="B7" s="131">
        <v>5906.1875</v>
      </c>
      <c r="C7" s="106">
        <v>15908</v>
      </c>
      <c r="E7" s="107">
        <v>361459</v>
      </c>
      <c r="F7" s="108">
        <f t="shared" ref="F7:F38" si="0">ROUND(E7/$B7,0)</f>
        <v>61</v>
      </c>
      <c r="G7" s="132">
        <f t="shared" ref="G7:G38" si="1">F7/$C7</f>
        <v>3.8345486547648982E-3</v>
      </c>
      <c r="I7" s="107">
        <v>2677601</v>
      </c>
      <c r="J7" s="108">
        <f t="shared" ref="J7:J38" si="2">ROUND(I7/$B7,0)</f>
        <v>453</v>
      </c>
      <c r="K7" s="132">
        <f t="shared" ref="K7:K38" si="3">J7/$C7</f>
        <v>2.8476238370631127E-2</v>
      </c>
      <c r="M7" s="107">
        <v>439000</v>
      </c>
      <c r="N7" s="108">
        <f t="shared" ref="N7:N38" si="4">ROUND(M7/$B7,0)</f>
        <v>74</v>
      </c>
      <c r="O7" s="132">
        <f t="shared" ref="O7:O38" si="5">N7/$C7</f>
        <v>4.6517475484033188E-3</v>
      </c>
      <c r="Q7" s="133">
        <f t="shared" ref="Q7:Q38" si="6">SUM(F7,J7,N7)</f>
        <v>588</v>
      </c>
      <c r="R7" s="132">
        <f t="shared" ref="R7:R38" si="7">Q7/$C7</f>
        <v>3.6962534573799347E-2</v>
      </c>
    </row>
    <row r="8" spans="1:20" ht="15" customHeight="1" x14ac:dyDescent="0.3">
      <c r="A8" s="109" t="s">
        <v>125</v>
      </c>
      <c r="B8" s="134">
        <v>3505.875</v>
      </c>
      <c r="C8" s="110">
        <v>15930</v>
      </c>
      <c r="E8" s="111">
        <v>369399</v>
      </c>
      <c r="F8" s="112">
        <f t="shared" si="0"/>
        <v>105</v>
      </c>
      <c r="G8" s="135">
        <f t="shared" si="1"/>
        <v>6.5913370998116763E-3</v>
      </c>
      <c r="I8" s="111">
        <v>2746056</v>
      </c>
      <c r="J8" s="112">
        <f t="shared" si="2"/>
        <v>783</v>
      </c>
      <c r="K8" s="135">
        <f t="shared" si="3"/>
        <v>4.9152542372881358E-2</v>
      </c>
      <c r="M8" s="111">
        <v>186000</v>
      </c>
      <c r="N8" s="112">
        <f t="shared" si="4"/>
        <v>53</v>
      </c>
      <c r="O8" s="135">
        <f t="shared" si="5"/>
        <v>3.327055869428751E-3</v>
      </c>
      <c r="Q8" s="136">
        <f t="shared" si="6"/>
        <v>941</v>
      </c>
      <c r="R8" s="135">
        <f t="shared" si="7"/>
        <v>5.907093534212178E-2</v>
      </c>
    </row>
    <row r="9" spans="1:20" ht="15" customHeight="1" x14ac:dyDescent="0.3">
      <c r="A9" s="109" t="s">
        <v>126</v>
      </c>
      <c r="B9" s="134">
        <v>4622.25</v>
      </c>
      <c r="C9" s="110">
        <v>16395</v>
      </c>
      <c r="E9" s="111">
        <v>419602</v>
      </c>
      <c r="F9" s="112">
        <f t="shared" si="0"/>
        <v>91</v>
      </c>
      <c r="G9" s="135">
        <f t="shared" si="1"/>
        <v>5.550472705093016E-3</v>
      </c>
      <c r="I9" s="111">
        <v>2581554</v>
      </c>
      <c r="J9" s="112">
        <f t="shared" si="2"/>
        <v>559</v>
      </c>
      <c r="K9" s="135">
        <f t="shared" si="3"/>
        <v>3.4095760902714239E-2</v>
      </c>
      <c r="M9" s="111">
        <v>230000</v>
      </c>
      <c r="N9" s="112">
        <f t="shared" si="4"/>
        <v>50</v>
      </c>
      <c r="O9" s="135">
        <f t="shared" si="5"/>
        <v>3.0497102775236353E-3</v>
      </c>
      <c r="Q9" s="136">
        <f t="shared" si="6"/>
        <v>700</v>
      </c>
      <c r="R9" s="135">
        <f t="shared" si="7"/>
        <v>4.2695943885330892E-2</v>
      </c>
    </row>
    <row r="10" spans="1:20" ht="15" customHeight="1" x14ac:dyDescent="0.3">
      <c r="A10" s="109" t="s">
        <v>127</v>
      </c>
      <c r="B10" s="134">
        <v>525.00109999999995</v>
      </c>
      <c r="C10" s="110">
        <v>23368</v>
      </c>
      <c r="E10" s="111">
        <v>42675</v>
      </c>
      <c r="F10" s="112">
        <f t="shared" si="0"/>
        <v>81</v>
      </c>
      <c r="G10" s="135">
        <f t="shared" si="1"/>
        <v>3.466278671687778E-3</v>
      </c>
      <c r="I10" s="111">
        <v>442317</v>
      </c>
      <c r="J10" s="112">
        <f t="shared" si="2"/>
        <v>843</v>
      </c>
      <c r="K10" s="135">
        <f t="shared" si="3"/>
        <v>3.607497432386169E-2</v>
      </c>
      <c r="M10" s="111">
        <v>59000</v>
      </c>
      <c r="N10" s="112">
        <f t="shared" si="4"/>
        <v>112</v>
      </c>
      <c r="O10" s="135">
        <f t="shared" si="5"/>
        <v>4.7928791509756936E-3</v>
      </c>
      <c r="Q10" s="136">
        <f t="shared" si="6"/>
        <v>1036</v>
      </c>
      <c r="R10" s="135">
        <f t="shared" si="7"/>
        <v>4.4334132146525165E-2</v>
      </c>
    </row>
    <row r="11" spans="1:20" ht="15" customHeight="1" x14ac:dyDescent="0.3">
      <c r="A11" s="109" t="s">
        <v>128</v>
      </c>
      <c r="B11" s="134">
        <v>1106.0625</v>
      </c>
      <c r="C11" s="110">
        <v>15609</v>
      </c>
      <c r="E11" s="111">
        <v>49847</v>
      </c>
      <c r="F11" s="112">
        <f t="shared" si="0"/>
        <v>45</v>
      </c>
      <c r="G11" s="135">
        <f t="shared" si="1"/>
        <v>2.8829521429944265E-3</v>
      </c>
      <c r="I11" s="111">
        <v>572611</v>
      </c>
      <c r="J11" s="112">
        <f t="shared" si="2"/>
        <v>518</v>
      </c>
      <c r="K11" s="135">
        <f t="shared" si="3"/>
        <v>3.3185982446024727E-2</v>
      </c>
      <c r="M11" s="111">
        <v>88000</v>
      </c>
      <c r="N11" s="112">
        <f t="shared" si="4"/>
        <v>80</v>
      </c>
      <c r="O11" s="135">
        <f t="shared" si="5"/>
        <v>5.1252482542123133E-3</v>
      </c>
      <c r="Q11" s="136">
        <f t="shared" si="6"/>
        <v>643</v>
      </c>
      <c r="R11" s="135">
        <f t="shared" si="7"/>
        <v>4.1194182843231467E-2</v>
      </c>
    </row>
    <row r="12" spans="1:20" ht="15" customHeight="1" x14ac:dyDescent="0.3">
      <c r="A12" s="109" t="s">
        <v>129</v>
      </c>
      <c r="B12" s="134">
        <v>4159.9375</v>
      </c>
      <c r="C12" s="110">
        <v>14946</v>
      </c>
      <c r="E12" s="111">
        <v>242977</v>
      </c>
      <c r="F12" s="112">
        <f t="shared" si="0"/>
        <v>58</v>
      </c>
      <c r="G12" s="135">
        <f t="shared" si="1"/>
        <v>3.8806369597216648E-3</v>
      </c>
      <c r="I12" s="111">
        <v>1883134</v>
      </c>
      <c r="J12" s="112">
        <f t="shared" si="2"/>
        <v>453</v>
      </c>
      <c r="K12" s="135">
        <f t="shared" si="3"/>
        <v>3.0309112806101966E-2</v>
      </c>
      <c r="M12" s="111">
        <v>263000</v>
      </c>
      <c r="N12" s="112">
        <f t="shared" si="4"/>
        <v>63</v>
      </c>
      <c r="O12" s="135">
        <f t="shared" si="5"/>
        <v>4.2151746286631878E-3</v>
      </c>
      <c r="Q12" s="136">
        <f t="shared" si="6"/>
        <v>574</v>
      </c>
      <c r="R12" s="135">
        <f t="shared" si="7"/>
        <v>3.8404924394486818E-2</v>
      </c>
    </row>
    <row r="13" spans="1:20" ht="15" customHeight="1" x14ac:dyDescent="0.3">
      <c r="A13" s="109" t="s">
        <v>130</v>
      </c>
      <c r="B13" s="134">
        <v>8803.8125</v>
      </c>
      <c r="C13" s="110">
        <v>13947</v>
      </c>
      <c r="E13" s="111">
        <v>361094</v>
      </c>
      <c r="F13" s="112">
        <f t="shared" si="0"/>
        <v>41</v>
      </c>
      <c r="G13" s="135">
        <f t="shared" si="1"/>
        <v>2.9397002939700293E-3</v>
      </c>
      <c r="I13" s="111">
        <v>2344529</v>
      </c>
      <c r="J13" s="112">
        <f t="shared" si="2"/>
        <v>266</v>
      </c>
      <c r="K13" s="135">
        <f t="shared" si="3"/>
        <v>1.9072201907220192E-2</v>
      </c>
      <c r="M13" s="111">
        <v>601000</v>
      </c>
      <c r="N13" s="112">
        <f t="shared" si="4"/>
        <v>68</v>
      </c>
      <c r="O13" s="135">
        <f t="shared" si="5"/>
        <v>4.8756004875600487E-3</v>
      </c>
      <c r="Q13" s="136">
        <f t="shared" si="6"/>
        <v>375</v>
      </c>
      <c r="R13" s="135">
        <f t="shared" si="7"/>
        <v>2.6887502688750269E-2</v>
      </c>
    </row>
    <row r="14" spans="1:20" ht="15" customHeight="1" x14ac:dyDescent="0.3">
      <c r="A14" s="109" t="s">
        <v>131</v>
      </c>
      <c r="B14" s="134">
        <v>24835.125</v>
      </c>
      <c r="C14" s="110">
        <v>13650</v>
      </c>
      <c r="E14" s="111">
        <v>600000</v>
      </c>
      <c r="F14" s="112">
        <f t="shared" si="0"/>
        <v>24</v>
      </c>
      <c r="G14" s="135">
        <f t="shared" si="1"/>
        <v>1.7582417582417582E-3</v>
      </c>
      <c r="I14" s="111">
        <v>3890108</v>
      </c>
      <c r="J14" s="112">
        <f t="shared" si="2"/>
        <v>157</v>
      </c>
      <c r="K14" s="135">
        <f t="shared" si="3"/>
        <v>1.1501831501831502E-2</v>
      </c>
      <c r="M14" s="111">
        <v>1627000</v>
      </c>
      <c r="N14" s="112">
        <f t="shared" si="4"/>
        <v>66</v>
      </c>
      <c r="O14" s="135">
        <f t="shared" si="5"/>
        <v>4.8351648351648352E-3</v>
      </c>
      <c r="Q14" s="136">
        <f t="shared" si="6"/>
        <v>247</v>
      </c>
      <c r="R14" s="135">
        <f t="shared" si="7"/>
        <v>1.8095238095238095E-2</v>
      </c>
    </row>
    <row r="15" spans="1:20" ht="15" customHeight="1" x14ac:dyDescent="0.3">
      <c r="A15" s="109" t="s">
        <v>132</v>
      </c>
      <c r="B15" s="134">
        <v>4370.8125</v>
      </c>
      <c r="C15" s="110">
        <v>16127</v>
      </c>
      <c r="E15" s="111">
        <v>739024</v>
      </c>
      <c r="F15" s="112">
        <f t="shared" si="0"/>
        <v>169</v>
      </c>
      <c r="G15" s="135">
        <f t="shared" si="1"/>
        <v>1.047932039436969E-2</v>
      </c>
      <c r="I15" s="111">
        <v>4721989</v>
      </c>
      <c r="J15" s="112">
        <f t="shared" si="2"/>
        <v>1080</v>
      </c>
      <c r="K15" s="135">
        <f t="shared" si="3"/>
        <v>6.6968438023190927E-2</v>
      </c>
      <c r="M15" s="111">
        <v>274000</v>
      </c>
      <c r="N15" s="112">
        <f t="shared" si="4"/>
        <v>63</v>
      </c>
      <c r="O15" s="135">
        <f t="shared" si="5"/>
        <v>3.9064922180194707E-3</v>
      </c>
      <c r="Q15" s="136">
        <f t="shared" si="6"/>
        <v>1312</v>
      </c>
      <c r="R15" s="135">
        <f t="shared" si="7"/>
        <v>8.1354250635580078E-2</v>
      </c>
    </row>
    <row r="16" spans="1:20" ht="15" customHeight="1" x14ac:dyDescent="0.3">
      <c r="A16" s="109" t="s">
        <v>133</v>
      </c>
      <c r="B16" s="134">
        <v>2792.8125</v>
      </c>
      <c r="C16" s="110">
        <v>16765</v>
      </c>
      <c r="E16" s="111">
        <v>274209</v>
      </c>
      <c r="F16" s="112">
        <f t="shared" si="0"/>
        <v>98</v>
      </c>
      <c r="G16" s="135">
        <f t="shared" si="1"/>
        <v>5.8455114822546974E-3</v>
      </c>
      <c r="I16" s="111">
        <v>1724370</v>
      </c>
      <c r="J16" s="112">
        <f t="shared" si="2"/>
        <v>617</v>
      </c>
      <c r="K16" s="135">
        <f t="shared" si="3"/>
        <v>3.6802863107664778E-2</v>
      </c>
      <c r="M16" s="111">
        <v>303000</v>
      </c>
      <c r="N16" s="112">
        <f t="shared" si="4"/>
        <v>108</v>
      </c>
      <c r="O16" s="135">
        <f t="shared" si="5"/>
        <v>6.4419922457500745E-3</v>
      </c>
      <c r="Q16" s="136">
        <f t="shared" si="6"/>
        <v>823</v>
      </c>
      <c r="R16" s="135">
        <f t="shared" si="7"/>
        <v>4.9090366835669551E-2</v>
      </c>
    </row>
    <row r="17" spans="1:18" ht="15" customHeight="1" x14ac:dyDescent="0.3">
      <c r="A17" s="109" t="s">
        <v>134</v>
      </c>
      <c r="B17" s="134">
        <v>15776.156300000001</v>
      </c>
      <c r="C17" s="110">
        <v>14081</v>
      </c>
      <c r="E17" s="111">
        <v>329456</v>
      </c>
      <c r="F17" s="112">
        <f t="shared" si="0"/>
        <v>21</v>
      </c>
      <c r="G17" s="135">
        <f t="shared" si="1"/>
        <v>1.4913713514665152E-3</v>
      </c>
      <c r="I17" s="111">
        <v>2594336</v>
      </c>
      <c r="J17" s="112">
        <f t="shared" si="2"/>
        <v>164</v>
      </c>
      <c r="K17" s="135">
        <f t="shared" si="3"/>
        <v>1.1646900078119452E-2</v>
      </c>
      <c r="M17" s="111">
        <v>1124000</v>
      </c>
      <c r="N17" s="112">
        <f t="shared" si="4"/>
        <v>71</v>
      </c>
      <c r="O17" s="135">
        <f t="shared" si="5"/>
        <v>5.0422555216248846E-3</v>
      </c>
      <c r="Q17" s="136">
        <f t="shared" si="6"/>
        <v>256</v>
      </c>
      <c r="R17" s="135">
        <f t="shared" si="7"/>
        <v>1.8180526951210852E-2</v>
      </c>
    </row>
    <row r="18" spans="1:18" ht="15" customHeight="1" x14ac:dyDescent="0.3">
      <c r="A18" s="109" t="s">
        <v>135</v>
      </c>
      <c r="B18" s="134">
        <v>20270.0625</v>
      </c>
      <c r="C18" s="110">
        <v>13128</v>
      </c>
      <c r="E18" s="111">
        <v>313969</v>
      </c>
      <c r="F18" s="112">
        <f t="shared" si="0"/>
        <v>15</v>
      </c>
      <c r="G18" s="135">
        <f t="shared" si="1"/>
        <v>1.1425959780621572E-3</v>
      </c>
      <c r="I18" s="111">
        <v>1667474</v>
      </c>
      <c r="J18" s="112">
        <f t="shared" si="2"/>
        <v>82</v>
      </c>
      <c r="K18" s="135">
        <f t="shared" si="3"/>
        <v>6.246191346739793E-3</v>
      </c>
      <c r="M18" s="111">
        <v>1200000</v>
      </c>
      <c r="N18" s="112">
        <f t="shared" si="4"/>
        <v>59</v>
      </c>
      <c r="O18" s="135">
        <f t="shared" si="5"/>
        <v>4.4942108470444851E-3</v>
      </c>
      <c r="Q18" s="136">
        <f t="shared" si="6"/>
        <v>156</v>
      </c>
      <c r="R18" s="135">
        <f t="shared" si="7"/>
        <v>1.1882998171846435E-2</v>
      </c>
    </row>
    <row r="19" spans="1:18" ht="15" customHeight="1" x14ac:dyDescent="0.3">
      <c r="A19" s="109" t="s">
        <v>136</v>
      </c>
      <c r="B19" s="134">
        <v>25954.9375</v>
      </c>
      <c r="C19" s="110">
        <v>14287</v>
      </c>
      <c r="E19" s="111">
        <v>260000</v>
      </c>
      <c r="F19" s="112">
        <f t="shared" si="0"/>
        <v>10</v>
      </c>
      <c r="G19" s="135">
        <f t="shared" si="1"/>
        <v>6.999370056694897E-4</v>
      </c>
      <c r="I19" s="111">
        <v>2064252</v>
      </c>
      <c r="J19" s="112">
        <f t="shared" si="2"/>
        <v>80</v>
      </c>
      <c r="K19" s="135">
        <f t="shared" si="3"/>
        <v>5.5994960453559176E-3</v>
      </c>
      <c r="M19" s="111">
        <v>1686000</v>
      </c>
      <c r="N19" s="112">
        <f t="shared" si="4"/>
        <v>65</v>
      </c>
      <c r="O19" s="135">
        <f t="shared" si="5"/>
        <v>4.549590536851683E-3</v>
      </c>
      <c r="Q19" s="136">
        <f t="shared" si="6"/>
        <v>155</v>
      </c>
      <c r="R19" s="135">
        <f t="shared" si="7"/>
        <v>1.0849023587877092E-2</v>
      </c>
    </row>
    <row r="20" spans="1:18" ht="15" customHeight="1" x14ac:dyDescent="0.3">
      <c r="A20" s="109" t="s">
        <v>137</v>
      </c>
      <c r="B20" s="134">
        <v>78388.5625</v>
      </c>
      <c r="C20" s="110">
        <v>13137</v>
      </c>
      <c r="E20" s="111">
        <v>72999</v>
      </c>
      <c r="F20" s="112">
        <f t="shared" si="0"/>
        <v>1</v>
      </c>
      <c r="G20" s="135">
        <f t="shared" si="1"/>
        <v>7.6120879957372305E-5</v>
      </c>
      <c r="I20" s="111">
        <v>518935</v>
      </c>
      <c r="J20" s="112">
        <f t="shared" si="2"/>
        <v>7</v>
      </c>
      <c r="K20" s="135">
        <f t="shared" si="3"/>
        <v>5.3284615970160612E-4</v>
      </c>
      <c r="M20" s="111">
        <v>4940000</v>
      </c>
      <c r="N20" s="112">
        <f t="shared" si="4"/>
        <v>63</v>
      </c>
      <c r="O20" s="135">
        <f t="shared" si="5"/>
        <v>4.7956154373144551E-3</v>
      </c>
      <c r="Q20" s="136">
        <f t="shared" si="6"/>
        <v>71</v>
      </c>
      <c r="R20" s="135">
        <f t="shared" si="7"/>
        <v>5.4045824769734336E-3</v>
      </c>
    </row>
    <row r="21" spans="1:18" ht="15" customHeight="1" x14ac:dyDescent="0.3">
      <c r="A21" s="109" t="s">
        <v>138</v>
      </c>
      <c r="B21" s="134">
        <v>15672.25</v>
      </c>
      <c r="C21" s="110">
        <v>13080</v>
      </c>
      <c r="E21" s="111">
        <v>41933</v>
      </c>
      <c r="F21" s="112">
        <f t="shared" si="0"/>
        <v>3</v>
      </c>
      <c r="G21" s="135">
        <f t="shared" si="1"/>
        <v>2.2935779816513763E-4</v>
      </c>
      <c r="I21" s="111">
        <v>266866</v>
      </c>
      <c r="J21" s="112">
        <f t="shared" si="2"/>
        <v>17</v>
      </c>
      <c r="K21" s="135">
        <f t="shared" si="3"/>
        <v>1.2996941896024465E-3</v>
      </c>
      <c r="M21" s="111">
        <v>966000</v>
      </c>
      <c r="N21" s="112">
        <f t="shared" si="4"/>
        <v>62</v>
      </c>
      <c r="O21" s="135">
        <f t="shared" si="5"/>
        <v>4.7400611620795107E-3</v>
      </c>
      <c r="Q21" s="136">
        <f t="shared" si="6"/>
        <v>82</v>
      </c>
      <c r="R21" s="135">
        <f t="shared" si="7"/>
        <v>6.2691131498470946E-3</v>
      </c>
    </row>
    <row r="22" spans="1:18" ht="15" customHeight="1" x14ac:dyDescent="0.3">
      <c r="A22" s="109" t="s">
        <v>139</v>
      </c>
      <c r="B22" s="134">
        <v>22409.1875</v>
      </c>
      <c r="C22" s="110">
        <v>14055</v>
      </c>
      <c r="E22" s="111">
        <v>21608</v>
      </c>
      <c r="F22" s="112">
        <f t="shared" si="0"/>
        <v>1</v>
      </c>
      <c r="G22" s="135">
        <f t="shared" si="1"/>
        <v>7.1149057274991112E-5</v>
      </c>
      <c r="I22" s="111">
        <v>148481</v>
      </c>
      <c r="J22" s="112">
        <f t="shared" si="2"/>
        <v>7</v>
      </c>
      <c r="K22" s="135">
        <f t="shared" si="3"/>
        <v>4.9804340092493777E-4</v>
      </c>
      <c r="M22" s="111">
        <v>1189000</v>
      </c>
      <c r="N22" s="112">
        <f t="shared" si="4"/>
        <v>53</v>
      </c>
      <c r="O22" s="135">
        <f t="shared" si="5"/>
        <v>3.7709000355745288E-3</v>
      </c>
      <c r="Q22" s="136">
        <f t="shared" si="6"/>
        <v>61</v>
      </c>
      <c r="R22" s="135">
        <f t="shared" si="7"/>
        <v>4.3400924937744573E-3</v>
      </c>
    </row>
    <row r="23" spans="1:18" ht="15" customHeight="1" x14ac:dyDescent="0.3">
      <c r="A23" s="109" t="s">
        <v>140</v>
      </c>
      <c r="B23" s="134">
        <v>50423</v>
      </c>
      <c r="C23" s="110">
        <v>13179</v>
      </c>
      <c r="E23" s="111">
        <v>53423</v>
      </c>
      <c r="F23" s="112">
        <f t="shared" si="0"/>
        <v>1</v>
      </c>
      <c r="G23" s="135">
        <f t="shared" si="1"/>
        <v>7.58782912208817E-5</v>
      </c>
      <c r="I23" s="111">
        <v>333187</v>
      </c>
      <c r="J23" s="112">
        <f t="shared" si="2"/>
        <v>7</v>
      </c>
      <c r="K23" s="135">
        <f t="shared" si="3"/>
        <v>5.3114803854617196E-4</v>
      </c>
      <c r="M23" s="111">
        <v>3186000</v>
      </c>
      <c r="N23" s="112">
        <f t="shared" si="4"/>
        <v>63</v>
      </c>
      <c r="O23" s="135">
        <f t="shared" si="5"/>
        <v>4.7803323469155475E-3</v>
      </c>
      <c r="Q23" s="136">
        <f t="shared" si="6"/>
        <v>71</v>
      </c>
      <c r="R23" s="135">
        <f t="shared" si="7"/>
        <v>5.3873586766826015E-3</v>
      </c>
    </row>
    <row r="24" spans="1:18" ht="15" customHeight="1" x14ac:dyDescent="0.3">
      <c r="A24" s="109" t="s">
        <v>141</v>
      </c>
      <c r="B24" s="134">
        <v>7845.875</v>
      </c>
      <c r="C24" s="110">
        <v>13482</v>
      </c>
      <c r="E24" s="111">
        <v>6073</v>
      </c>
      <c r="F24" s="112">
        <f t="shared" si="0"/>
        <v>1</v>
      </c>
      <c r="G24" s="135">
        <f t="shared" si="1"/>
        <v>7.4172971369233049E-5</v>
      </c>
      <c r="I24" s="111">
        <v>49555</v>
      </c>
      <c r="J24" s="112">
        <f t="shared" si="2"/>
        <v>6</v>
      </c>
      <c r="K24" s="135">
        <f t="shared" si="3"/>
        <v>4.450378282153983E-4</v>
      </c>
      <c r="M24" s="111">
        <v>469000</v>
      </c>
      <c r="N24" s="112">
        <f t="shared" si="4"/>
        <v>60</v>
      </c>
      <c r="O24" s="135">
        <f t="shared" si="5"/>
        <v>4.450378282153983E-3</v>
      </c>
      <c r="Q24" s="136">
        <f t="shared" si="6"/>
        <v>67</v>
      </c>
      <c r="R24" s="135">
        <f t="shared" si="7"/>
        <v>4.9695890817386141E-3</v>
      </c>
    </row>
    <row r="25" spans="1:18" ht="15" customHeight="1" x14ac:dyDescent="0.3">
      <c r="A25" s="109" t="s">
        <v>142</v>
      </c>
      <c r="B25" s="134">
        <v>27188.6875</v>
      </c>
      <c r="C25" s="110">
        <v>12789</v>
      </c>
      <c r="E25" s="111">
        <v>24841</v>
      </c>
      <c r="F25" s="112">
        <f t="shared" si="0"/>
        <v>1</v>
      </c>
      <c r="G25" s="135">
        <f t="shared" si="1"/>
        <v>7.8192196418797405E-5</v>
      </c>
      <c r="I25" s="111">
        <v>178947</v>
      </c>
      <c r="J25" s="112">
        <f t="shared" si="2"/>
        <v>7</v>
      </c>
      <c r="K25" s="135">
        <f t="shared" si="3"/>
        <v>5.4734537493158185E-4</v>
      </c>
      <c r="M25" s="111">
        <v>1605000</v>
      </c>
      <c r="N25" s="112">
        <f t="shared" si="4"/>
        <v>59</v>
      </c>
      <c r="O25" s="135">
        <f t="shared" si="5"/>
        <v>4.6133395887090469E-3</v>
      </c>
      <c r="Q25" s="136">
        <f t="shared" si="6"/>
        <v>67</v>
      </c>
      <c r="R25" s="135">
        <f t="shared" si="7"/>
        <v>5.2388771600594261E-3</v>
      </c>
    </row>
    <row r="26" spans="1:18" ht="15" customHeight="1" x14ac:dyDescent="0.3">
      <c r="A26" s="109" t="s">
        <v>143</v>
      </c>
      <c r="B26" s="134">
        <v>16372.6875</v>
      </c>
      <c r="C26" s="110">
        <v>14263</v>
      </c>
      <c r="E26" s="111">
        <v>185990</v>
      </c>
      <c r="F26" s="112">
        <f t="shared" si="0"/>
        <v>11</v>
      </c>
      <c r="G26" s="135">
        <f t="shared" si="1"/>
        <v>7.71226249737082E-4</v>
      </c>
      <c r="I26" s="111">
        <v>1334858</v>
      </c>
      <c r="J26" s="112">
        <f t="shared" si="2"/>
        <v>82</v>
      </c>
      <c r="K26" s="135">
        <f t="shared" si="3"/>
        <v>5.7491411344037019E-3</v>
      </c>
      <c r="M26" s="111">
        <v>1244000</v>
      </c>
      <c r="N26" s="112">
        <f t="shared" si="4"/>
        <v>76</v>
      </c>
      <c r="O26" s="135">
        <f t="shared" si="5"/>
        <v>5.3284722709107477E-3</v>
      </c>
      <c r="Q26" s="136">
        <f t="shared" si="6"/>
        <v>169</v>
      </c>
      <c r="R26" s="135">
        <f t="shared" si="7"/>
        <v>1.1848839655051532E-2</v>
      </c>
    </row>
    <row r="27" spans="1:18" ht="15" customHeight="1" x14ac:dyDescent="0.3">
      <c r="A27" s="109" t="s">
        <v>144</v>
      </c>
      <c r="B27" s="134">
        <v>32768.031300000002</v>
      </c>
      <c r="C27" s="110">
        <v>13269</v>
      </c>
      <c r="E27" s="111">
        <v>81641</v>
      </c>
      <c r="F27" s="112">
        <f t="shared" si="0"/>
        <v>2</v>
      </c>
      <c r="G27" s="135">
        <f t="shared" si="1"/>
        <v>1.5072725902479464E-4</v>
      </c>
      <c r="I27" s="111">
        <v>546528</v>
      </c>
      <c r="J27" s="112">
        <f t="shared" si="2"/>
        <v>17</v>
      </c>
      <c r="K27" s="135">
        <f t="shared" si="3"/>
        <v>1.2811817017107543E-3</v>
      </c>
      <c r="M27" s="111">
        <v>1766000</v>
      </c>
      <c r="N27" s="112">
        <f t="shared" si="4"/>
        <v>54</v>
      </c>
      <c r="O27" s="135">
        <f t="shared" si="5"/>
        <v>4.0696359936694551E-3</v>
      </c>
      <c r="Q27" s="136">
        <f t="shared" si="6"/>
        <v>73</v>
      </c>
      <c r="R27" s="135">
        <f t="shared" si="7"/>
        <v>5.5015449544050044E-3</v>
      </c>
    </row>
    <row r="28" spans="1:18" ht="15" customHeight="1" x14ac:dyDescent="0.3">
      <c r="A28" s="109" t="s">
        <v>145</v>
      </c>
      <c r="B28" s="134">
        <v>16482.25</v>
      </c>
      <c r="C28" s="110">
        <v>12997</v>
      </c>
      <c r="E28" s="111">
        <v>40566</v>
      </c>
      <c r="F28" s="112">
        <f t="shared" si="0"/>
        <v>2</v>
      </c>
      <c r="G28" s="135">
        <f t="shared" si="1"/>
        <v>1.538816649996153E-4</v>
      </c>
      <c r="I28" s="111">
        <v>269783</v>
      </c>
      <c r="J28" s="112">
        <f t="shared" si="2"/>
        <v>16</v>
      </c>
      <c r="K28" s="135">
        <f t="shared" si="3"/>
        <v>1.2310533199969224E-3</v>
      </c>
      <c r="M28" s="111">
        <v>861000</v>
      </c>
      <c r="N28" s="112">
        <f t="shared" si="4"/>
        <v>52</v>
      </c>
      <c r="O28" s="135">
        <f t="shared" si="5"/>
        <v>4.0009232899899973E-3</v>
      </c>
      <c r="Q28" s="136">
        <f t="shared" si="6"/>
        <v>70</v>
      </c>
      <c r="R28" s="135">
        <f t="shared" si="7"/>
        <v>5.3858582749865356E-3</v>
      </c>
    </row>
    <row r="29" spans="1:18" ht="15" customHeight="1" x14ac:dyDescent="0.3">
      <c r="A29" s="109" t="s">
        <v>146</v>
      </c>
      <c r="B29" s="134">
        <v>7042.75</v>
      </c>
      <c r="C29" s="110">
        <v>12030</v>
      </c>
      <c r="E29" s="111">
        <v>84722</v>
      </c>
      <c r="F29" s="112">
        <f t="shared" si="0"/>
        <v>12</v>
      </c>
      <c r="G29" s="135">
        <f t="shared" si="1"/>
        <v>9.9750623441396502E-4</v>
      </c>
      <c r="I29" s="111">
        <v>430214</v>
      </c>
      <c r="J29" s="112">
        <f t="shared" si="2"/>
        <v>61</v>
      </c>
      <c r="K29" s="135">
        <f t="shared" si="3"/>
        <v>5.0706566916043222E-3</v>
      </c>
      <c r="M29" s="111">
        <v>293000</v>
      </c>
      <c r="N29" s="112">
        <f t="shared" si="4"/>
        <v>42</v>
      </c>
      <c r="O29" s="135">
        <f t="shared" si="5"/>
        <v>3.4912718204488779E-3</v>
      </c>
      <c r="Q29" s="136">
        <f t="shared" si="6"/>
        <v>115</v>
      </c>
      <c r="R29" s="135">
        <f t="shared" si="7"/>
        <v>9.5594347464671662E-3</v>
      </c>
    </row>
    <row r="30" spans="1:18" ht="15" customHeight="1" x14ac:dyDescent="0.3">
      <c r="A30" s="109" t="s">
        <v>147</v>
      </c>
      <c r="B30" s="134">
        <v>3449.625</v>
      </c>
      <c r="C30" s="110">
        <v>17236</v>
      </c>
      <c r="E30" s="111">
        <v>380465</v>
      </c>
      <c r="F30" s="112">
        <f t="shared" si="0"/>
        <v>110</v>
      </c>
      <c r="G30" s="135">
        <f t="shared" si="1"/>
        <v>6.3819911812485492E-3</v>
      </c>
      <c r="I30" s="111">
        <v>3293876</v>
      </c>
      <c r="J30" s="112">
        <f t="shared" si="2"/>
        <v>955</v>
      </c>
      <c r="K30" s="135">
        <f t="shared" si="3"/>
        <v>5.5407287073566951E-2</v>
      </c>
      <c r="M30" s="111">
        <v>311000</v>
      </c>
      <c r="N30" s="112">
        <f t="shared" si="4"/>
        <v>90</v>
      </c>
      <c r="O30" s="135">
        <f t="shared" si="5"/>
        <v>5.2216291482942677E-3</v>
      </c>
      <c r="Q30" s="136">
        <f t="shared" si="6"/>
        <v>1155</v>
      </c>
      <c r="R30" s="135">
        <f t="shared" si="7"/>
        <v>6.7010907403109776E-2</v>
      </c>
    </row>
    <row r="31" spans="1:18" ht="15" customHeight="1" x14ac:dyDescent="0.3">
      <c r="A31" s="109" t="s">
        <v>148</v>
      </c>
      <c r="B31" s="134">
        <v>3029</v>
      </c>
      <c r="C31" s="110">
        <v>15522</v>
      </c>
      <c r="E31" s="111">
        <v>91754</v>
      </c>
      <c r="F31" s="112">
        <f t="shared" si="0"/>
        <v>30</v>
      </c>
      <c r="G31" s="135">
        <f t="shared" si="1"/>
        <v>1.9327406262079629E-3</v>
      </c>
      <c r="I31" s="111">
        <v>965721</v>
      </c>
      <c r="J31" s="112">
        <f t="shared" si="2"/>
        <v>319</v>
      </c>
      <c r="K31" s="135">
        <f t="shared" si="3"/>
        <v>2.0551475325344671E-2</v>
      </c>
      <c r="M31" s="111">
        <v>398000</v>
      </c>
      <c r="N31" s="112">
        <f t="shared" si="4"/>
        <v>131</v>
      </c>
      <c r="O31" s="135">
        <f t="shared" si="5"/>
        <v>8.4396340677747716E-3</v>
      </c>
      <c r="Q31" s="136">
        <f t="shared" si="6"/>
        <v>480</v>
      </c>
      <c r="R31" s="135">
        <f t="shared" si="7"/>
        <v>3.0923850019327407E-2</v>
      </c>
    </row>
    <row r="32" spans="1:18" ht="15" customHeight="1" x14ac:dyDescent="0.3">
      <c r="A32" s="109" t="s">
        <v>149</v>
      </c>
      <c r="B32" s="134">
        <v>5347.5625</v>
      </c>
      <c r="C32" s="110">
        <v>14769</v>
      </c>
      <c r="E32" s="111">
        <v>265534</v>
      </c>
      <c r="F32" s="112">
        <f t="shared" si="0"/>
        <v>50</v>
      </c>
      <c r="G32" s="135">
        <f t="shared" si="1"/>
        <v>3.3854695646286142E-3</v>
      </c>
      <c r="I32" s="111">
        <v>1931787</v>
      </c>
      <c r="J32" s="112">
        <f t="shared" si="2"/>
        <v>361</v>
      </c>
      <c r="K32" s="135">
        <f t="shared" si="3"/>
        <v>2.4443090256618592E-2</v>
      </c>
      <c r="M32" s="111">
        <v>273000</v>
      </c>
      <c r="N32" s="112">
        <f t="shared" si="4"/>
        <v>51</v>
      </c>
      <c r="O32" s="135">
        <f t="shared" si="5"/>
        <v>3.4531789559211863E-3</v>
      </c>
      <c r="Q32" s="136">
        <f t="shared" si="6"/>
        <v>462</v>
      </c>
      <c r="R32" s="135">
        <f t="shared" si="7"/>
        <v>3.1281738777168396E-2</v>
      </c>
    </row>
    <row r="33" spans="1:18" ht="15" customHeight="1" x14ac:dyDescent="0.3">
      <c r="A33" s="109" t="s">
        <v>150</v>
      </c>
      <c r="B33" s="134">
        <v>207.0625</v>
      </c>
      <c r="C33" s="110">
        <v>43586</v>
      </c>
      <c r="E33" s="111">
        <v>80277</v>
      </c>
      <c r="F33" s="112">
        <f t="shared" si="0"/>
        <v>388</v>
      </c>
      <c r="G33" s="135">
        <f t="shared" si="1"/>
        <v>8.9019409902262193E-3</v>
      </c>
      <c r="I33" s="111">
        <v>483100</v>
      </c>
      <c r="J33" s="112">
        <f t="shared" si="2"/>
        <v>2333</v>
      </c>
      <c r="K33" s="135">
        <f t="shared" si="3"/>
        <v>5.352636167576745E-2</v>
      </c>
      <c r="M33" s="111">
        <v>17000</v>
      </c>
      <c r="N33" s="112">
        <f t="shared" si="4"/>
        <v>82</v>
      </c>
      <c r="O33" s="135">
        <f t="shared" si="5"/>
        <v>1.8813380443261597E-3</v>
      </c>
      <c r="Q33" s="136">
        <f t="shared" si="6"/>
        <v>2803</v>
      </c>
      <c r="R33" s="135">
        <f t="shared" si="7"/>
        <v>6.4309640710319832E-2</v>
      </c>
    </row>
    <row r="34" spans="1:18" ht="15" customHeight="1" x14ac:dyDescent="0.3">
      <c r="A34" s="109" t="s">
        <v>151</v>
      </c>
      <c r="B34" s="134">
        <v>496.6875</v>
      </c>
      <c r="C34" s="110">
        <v>31533</v>
      </c>
      <c r="E34" s="111">
        <v>149851</v>
      </c>
      <c r="F34" s="112">
        <f t="shared" si="0"/>
        <v>302</v>
      </c>
      <c r="G34" s="135">
        <f t="shared" si="1"/>
        <v>9.5772682586496693E-3</v>
      </c>
      <c r="I34" s="111">
        <v>976949</v>
      </c>
      <c r="J34" s="112">
        <f t="shared" si="2"/>
        <v>1967</v>
      </c>
      <c r="K34" s="135">
        <f t="shared" si="3"/>
        <v>6.2379094916436749E-2</v>
      </c>
      <c r="M34" s="111">
        <v>34000</v>
      </c>
      <c r="N34" s="112">
        <f t="shared" si="4"/>
        <v>68</v>
      </c>
      <c r="O34" s="135">
        <f t="shared" si="5"/>
        <v>2.1564709986363491E-3</v>
      </c>
      <c r="Q34" s="136">
        <f t="shared" si="6"/>
        <v>2337</v>
      </c>
      <c r="R34" s="135">
        <f t="shared" si="7"/>
        <v>7.4112834173722761E-2</v>
      </c>
    </row>
    <row r="35" spans="1:18" ht="15" customHeight="1" x14ac:dyDescent="0.3">
      <c r="A35" s="109" t="s">
        <v>152</v>
      </c>
      <c r="B35" s="134">
        <v>1262.25</v>
      </c>
      <c r="C35" s="110">
        <v>18887</v>
      </c>
      <c r="E35" s="111">
        <v>153588</v>
      </c>
      <c r="F35" s="112">
        <f t="shared" si="0"/>
        <v>122</v>
      </c>
      <c r="G35" s="135">
        <f t="shared" si="1"/>
        <v>6.4594694763594005E-3</v>
      </c>
      <c r="I35" s="111">
        <v>892395</v>
      </c>
      <c r="J35" s="112">
        <f t="shared" si="2"/>
        <v>707</v>
      </c>
      <c r="K35" s="135">
        <f t="shared" si="3"/>
        <v>3.7433155080213901E-2</v>
      </c>
      <c r="M35" s="111">
        <v>106000</v>
      </c>
      <c r="N35" s="112">
        <f t="shared" si="4"/>
        <v>84</v>
      </c>
      <c r="O35" s="135">
        <f t="shared" si="5"/>
        <v>4.4475035738868003E-3</v>
      </c>
      <c r="Q35" s="136">
        <f t="shared" si="6"/>
        <v>913</v>
      </c>
      <c r="R35" s="135">
        <f t="shared" si="7"/>
        <v>4.8340128130460104E-2</v>
      </c>
    </row>
    <row r="36" spans="1:18" ht="15" customHeight="1" x14ac:dyDescent="0.3">
      <c r="A36" s="109" t="s">
        <v>153</v>
      </c>
      <c r="B36" s="134">
        <v>1796</v>
      </c>
      <c r="C36" s="110">
        <v>18226</v>
      </c>
      <c r="E36" s="111">
        <v>117597</v>
      </c>
      <c r="F36" s="112">
        <f t="shared" si="0"/>
        <v>65</v>
      </c>
      <c r="G36" s="135">
        <f t="shared" si="1"/>
        <v>3.566333808844508E-3</v>
      </c>
      <c r="I36" s="111">
        <v>648768</v>
      </c>
      <c r="J36" s="112">
        <f t="shared" si="2"/>
        <v>361</v>
      </c>
      <c r="K36" s="135">
        <f t="shared" si="3"/>
        <v>1.9806869307582575E-2</v>
      </c>
      <c r="M36" s="111">
        <v>135000</v>
      </c>
      <c r="N36" s="112">
        <f t="shared" si="4"/>
        <v>75</v>
      </c>
      <c r="O36" s="135">
        <f t="shared" si="5"/>
        <v>4.1150005486667402E-3</v>
      </c>
      <c r="Q36" s="136">
        <f t="shared" si="6"/>
        <v>501</v>
      </c>
      <c r="R36" s="135">
        <f t="shared" si="7"/>
        <v>2.7488203665093823E-2</v>
      </c>
    </row>
    <row r="37" spans="1:18" ht="15" customHeight="1" x14ac:dyDescent="0.3">
      <c r="A37" s="109" t="s">
        <v>154</v>
      </c>
      <c r="B37" s="134">
        <v>2304.875</v>
      </c>
      <c r="C37" s="110">
        <v>17171</v>
      </c>
      <c r="E37" s="111">
        <v>209099</v>
      </c>
      <c r="F37" s="112">
        <f t="shared" si="0"/>
        <v>91</v>
      </c>
      <c r="G37" s="135">
        <f t="shared" si="1"/>
        <v>5.2996331023236849E-3</v>
      </c>
      <c r="I37" s="111">
        <v>1372528</v>
      </c>
      <c r="J37" s="112">
        <f t="shared" si="2"/>
        <v>595</v>
      </c>
      <c r="K37" s="135">
        <f t="shared" si="3"/>
        <v>3.4651447207501018E-2</v>
      </c>
      <c r="M37" s="111">
        <v>232000</v>
      </c>
      <c r="N37" s="112">
        <f t="shared" si="4"/>
        <v>101</v>
      </c>
      <c r="O37" s="135">
        <f t="shared" si="5"/>
        <v>5.8820103663152993E-3</v>
      </c>
      <c r="Q37" s="136">
        <f t="shared" si="6"/>
        <v>787</v>
      </c>
      <c r="R37" s="135">
        <f t="shared" si="7"/>
        <v>4.5833090676140005E-2</v>
      </c>
    </row>
    <row r="38" spans="1:18" ht="15" customHeight="1" x14ac:dyDescent="0.3">
      <c r="A38" s="109" t="s">
        <v>155</v>
      </c>
      <c r="B38" s="134">
        <v>1826.375</v>
      </c>
      <c r="C38" s="110">
        <v>15753</v>
      </c>
      <c r="E38" s="111">
        <v>163737</v>
      </c>
      <c r="F38" s="112">
        <f t="shared" si="0"/>
        <v>90</v>
      </c>
      <c r="G38" s="135">
        <f t="shared" si="1"/>
        <v>5.7131974861931063E-3</v>
      </c>
      <c r="I38" s="111">
        <v>1010045</v>
      </c>
      <c r="J38" s="112">
        <f t="shared" si="2"/>
        <v>553</v>
      </c>
      <c r="K38" s="135">
        <f t="shared" si="3"/>
        <v>3.5104424554053194E-2</v>
      </c>
      <c r="M38" s="111">
        <v>112000</v>
      </c>
      <c r="N38" s="112">
        <f t="shared" si="4"/>
        <v>61</v>
      </c>
      <c r="O38" s="135">
        <f t="shared" si="5"/>
        <v>3.8722782961975498E-3</v>
      </c>
      <c r="Q38" s="136">
        <f t="shared" si="6"/>
        <v>704</v>
      </c>
      <c r="R38" s="135">
        <f t="shared" si="7"/>
        <v>4.468990033644385E-2</v>
      </c>
    </row>
    <row r="39" spans="1:18" ht="15" customHeight="1" x14ac:dyDescent="0.3">
      <c r="A39" s="109" t="s">
        <v>156</v>
      </c>
      <c r="B39" s="134">
        <v>12992</v>
      </c>
      <c r="C39" s="110">
        <v>15030</v>
      </c>
      <c r="E39" s="111">
        <v>687663</v>
      </c>
      <c r="F39" s="112">
        <f t="shared" ref="F39:F67" si="8">ROUND(E39/$B39,0)</f>
        <v>53</v>
      </c>
      <c r="G39" s="135">
        <f t="shared" ref="G39:G67" si="9">F39/$C39</f>
        <v>3.5262807717897538E-3</v>
      </c>
      <c r="I39" s="111">
        <v>4268250</v>
      </c>
      <c r="J39" s="112">
        <f t="shared" ref="J39:J67" si="10">ROUND(I39/$B39,0)</f>
        <v>329</v>
      </c>
      <c r="K39" s="135">
        <f t="shared" ref="K39:K67" si="11">J39/$C39</f>
        <v>2.1889554224883565E-2</v>
      </c>
      <c r="M39" s="111">
        <v>1083000</v>
      </c>
      <c r="N39" s="112">
        <f t="shared" ref="N39:N67" si="12">ROUND(M39/$B39,0)</f>
        <v>83</v>
      </c>
      <c r="O39" s="135">
        <f t="shared" ref="O39:O67" si="13">N39/$C39</f>
        <v>5.5222887558216902E-3</v>
      </c>
      <c r="Q39" s="136">
        <f t="shared" ref="Q39:Q66" si="14">SUM(F39,J39,N39)</f>
        <v>465</v>
      </c>
      <c r="R39" s="135">
        <f t="shared" ref="R39:R67" si="15">Q39/$C39</f>
        <v>3.0938123752495009E-2</v>
      </c>
    </row>
    <row r="40" spans="1:18" ht="15" customHeight="1" x14ac:dyDescent="0.3">
      <c r="A40" s="109" t="s">
        <v>157</v>
      </c>
      <c r="B40" s="134">
        <v>2133.3125</v>
      </c>
      <c r="C40" s="110">
        <v>16486</v>
      </c>
      <c r="E40" s="111">
        <v>170292</v>
      </c>
      <c r="F40" s="112">
        <f t="shared" si="8"/>
        <v>80</v>
      </c>
      <c r="G40" s="135">
        <f t="shared" si="9"/>
        <v>4.8526022079340043E-3</v>
      </c>
      <c r="I40" s="111">
        <v>845522</v>
      </c>
      <c r="J40" s="112">
        <f t="shared" si="10"/>
        <v>396</v>
      </c>
      <c r="K40" s="135">
        <f t="shared" si="11"/>
        <v>2.4020380929273322E-2</v>
      </c>
      <c r="M40" s="111">
        <v>140000</v>
      </c>
      <c r="N40" s="112">
        <f t="shared" si="12"/>
        <v>66</v>
      </c>
      <c r="O40" s="135">
        <f t="shared" si="13"/>
        <v>4.003396821545554E-3</v>
      </c>
      <c r="Q40" s="136">
        <f t="shared" si="14"/>
        <v>542</v>
      </c>
      <c r="R40" s="135">
        <f t="shared" si="15"/>
        <v>3.287637995875288E-2</v>
      </c>
    </row>
    <row r="41" spans="1:18" ht="15" customHeight="1" x14ac:dyDescent="0.3">
      <c r="A41" s="109" t="s">
        <v>158</v>
      </c>
      <c r="B41" s="134">
        <v>3595.5</v>
      </c>
      <c r="C41" s="110">
        <v>16690</v>
      </c>
      <c r="E41" s="111">
        <v>441458</v>
      </c>
      <c r="F41" s="112">
        <f t="shared" si="8"/>
        <v>123</v>
      </c>
      <c r="G41" s="135">
        <f t="shared" si="9"/>
        <v>7.3696824445775915E-3</v>
      </c>
      <c r="I41" s="111">
        <v>2259494</v>
      </c>
      <c r="J41" s="112">
        <f t="shared" si="10"/>
        <v>628</v>
      </c>
      <c r="K41" s="135">
        <f t="shared" si="11"/>
        <v>3.7627321749550628E-2</v>
      </c>
      <c r="M41" s="111">
        <v>209000</v>
      </c>
      <c r="N41" s="112">
        <f t="shared" si="12"/>
        <v>58</v>
      </c>
      <c r="O41" s="135">
        <f t="shared" si="13"/>
        <v>3.4751348112642302E-3</v>
      </c>
      <c r="Q41" s="136">
        <f t="shared" si="14"/>
        <v>809</v>
      </c>
      <c r="R41" s="135">
        <f t="shared" si="15"/>
        <v>4.8472139005392448E-2</v>
      </c>
    </row>
    <row r="42" spans="1:18" ht="15" customHeight="1" x14ac:dyDescent="0.3">
      <c r="A42" s="109" t="s">
        <v>159</v>
      </c>
      <c r="B42" s="134">
        <v>5960.3125</v>
      </c>
      <c r="C42" s="110">
        <v>15139</v>
      </c>
      <c r="E42" s="111">
        <v>425785</v>
      </c>
      <c r="F42" s="112">
        <f t="shared" si="8"/>
        <v>71</v>
      </c>
      <c r="G42" s="135">
        <f t="shared" si="9"/>
        <v>4.689873835788361E-3</v>
      </c>
      <c r="I42" s="111">
        <v>2308342</v>
      </c>
      <c r="J42" s="112">
        <f t="shared" si="10"/>
        <v>387</v>
      </c>
      <c r="K42" s="135">
        <f t="shared" si="11"/>
        <v>2.5563115133099942E-2</v>
      </c>
      <c r="M42" s="111">
        <v>361000</v>
      </c>
      <c r="N42" s="112">
        <f t="shared" si="12"/>
        <v>61</v>
      </c>
      <c r="O42" s="135">
        <f t="shared" si="13"/>
        <v>4.0293282251139444E-3</v>
      </c>
      <c r="Q42" s="136">
        <f t="shared" si="14"/>
        <v>519</v>
      </c>
      <c r="R42" s="135">
        <f t="shared" si="15"/>
        <v>3.4282317194002244E-2</v>
      </c>
    </row>
    <row r="43" spans="1:18" ht="15" customHeight="1" x14ac:dyDescent="0.3">
      <c r="A43" s="109" t="s">
        <v>160</v>
      </c>
      <c r="B43" s="134">
        <v>20665.252</v>
      </c>
      <c r="C43" s="110">
        <v>13479</v>
      </c>
      <c r="E43" s="111">
        <v>20027</v>
      </c>
      <c r="F43" s="112">
        <f t="shared" si="8"/>
        <v>1</v>
      </c>
      <c r="G43" s="135">
        <f t="shared" si="9"/>
        <v>7.4189479931745676E-5</v>
      </c>
      <c r="I43" s="111">
        <v>137062</v>
      </c>
      <c r="J43" s="112">
        <f t="shared" si="10"/>
        <v>7</v>
      </c>
      <c r="K43" s="135">
        <f t="shared" si="11"/>
        <v>5.193263595222198E-4</v>
      </c>
      <c r="M43" s="111">
        <v>1181000</v>
      </c>
      <c r="N43" s="112">
        <f t="shared" si="12"/>
        <v>57</v>
      </c>
      <c r="O43" s="135">
        <f t="shared" si="13"/>
        <v>4.2288003561095034E-3</v>
      </c>
      <c r="Q43" s="136">
        <f t="shared" si="14"/>
        <v>65</v>
      </c>
      <c r="R43" s="135">
        <f t="shared" si="15"/>
        <v>4.8223161955634692E-3</v>
      </c>
    </row>
    <row r="44" spans="1:18" ht="15" customHeight="1" x14ac:dyDescent="0.3">
      <c r="A44" s="109" t="s">
        <v>161</v>
      </c>
      <c r="B44" s="134">
        <v>14072.75</v>
      </c>
      <c r="C44" s="110">
        <v>14726</v>
      </c>
      <c r="E44" s="111">
        <v>358365</v>
      </c>
      <c r="F44" s="112">
        <f t="shared" si="8"/>
        <v>25</v>
      </c>
      <c r="G44" s="135">
        <f t="shared" si="9"/>
        <v>1.697677577074562E-3</v>
      </c>
      <c r="I44" s="111">
        <v>2230176</v>
      </c>
      <c r="J44" s="112">
        <f t="shared" si="10"/>
        <v>158</v>
      </c>
      <c r="K44" s="135">
        <f t="shared" si="11"/>
        <v>1.0729322287111232E-2</v>
      </c>
      <c r="M44" s="111">
        <v>919000</v>
      </c>
      <c r="N44" s="112">
        <f t="shared" si="12"/>
        <v>65</v>
      </c>
      <c r="O44" s="135">
        <f t="shared" si="13"/>
        <v>4.4139617003938611E-3</v>
      </c>
      <c r="Q44" s="136">
        <f t="shared" si="14"/>
        <v>248</v>
      </c>
      <c r="R44" s="135">
        <f t="shared" si="15"/>
        <v>1.6840961564579655E-2</v>
      </c>
    </row>
    <row r="45" spans="1:18" ht="15" customHeight="1" x14ac:dyDescent="0.3">
      <c r="A45" s="109" t="s">
        <v>162</v>
      </c>
      <c r="B45" s="134">
        <v>7518.125</v>
      </c>
      <c r="C45" s="110">
        <v>13932</v>
      </c>
      <c r="E45" s="111">
        <v>280000</v>
      </c>
      <c r="F45" s="112">
        <f t="shared" si="8"/>
        <v>37</v>
      </c>
      <c r="G45" s="135">
        <f t="shared" si="9"/>
        <v>2.6557565317255239E-3</v>
      </c>
      <c r="I45" s="111">
        <v>1707590</v>
      </c>
      <c r="J45" s="112">
        <f t="shared" si="10"/>
        <v>227</v>
      </c>
      <c r="K45" s="135">
        <f t="shared" si="11"/>
        <v>1.629342520815389E-2</v>
      </c>
      <c r="M45" s="111">
        <v>506000</v>
      </c>
      <c r="N45" s="112">
        <f t="shared" si="12"/>
        <v>67</v>
      </c>
      <c r="O45" s="135">
        <f t="shared" si="13"/>
        <v>4.8090726385300025E-3</v>
      </c>
      <c r="Q45" s="136">
        <f t="shared" si="14"/>
        <v>331</v>
      </c>
      <c r="R45" s="135">
        <f t="shared" si="15"/>
        <v>2.3758254378409418E-2</v>
      </c>
    </row>
    <row r="46" spans="1:18" ht="15" customHeight="1" x14ac:dyDescent="0.3">
      <c r="A46" s="109" t="s">
        <v>163</v>
      </c>
      <c r="B46" s="134">
        <v>1446.9375</v>
      </c>
      <c r="C46" s="110">
        <v>18589</v>
      </c>
      <c r="E46" s="111">
        <v>328264</v>
      </c>
      <c r="F46" s="112">
        <f t="shared" si="8"/>
        <v>227</v>
      </c>
      <c r="G46" s="135">
        <f t="shared" si="9"/>
        <v>1.2211522943676367E-2</v>
      </c>
      <c r="I46" s="111">
        <v>1987384</v>
      </c>
      <c r="J46" s="112">
        <f t="shared" si="10"/>
        <v>1374</v>
      </c>
      <c r="K46" s="135">
        <f t="shared" si="11"/>
        <v>7.391468072516004E-2</v>
      </c>
      <c r="M46" s="111">
        <v>66000</v>
      </c>
      <c r="N46" s="112">
        <f t="shared" si="12"/>
        <v>46</v>
      </c>
      <c r="O46" s="135">
        <f t="shared" si="13"/>
        <v>2.4745817418903651E-3</v>
      </c>
      <c r="Q46" s="136">
        <f t="shared" si="14"/>
        <v>1647</v>
      </c>
      <c r="R46" s="135">
        <f t="shared" si="15"/>
        <v>8.8600785410726773E-2</v>
      </c>
    </row>
    <row r="47" spans="1:18" ht="15" customHeight="1" x14ac:dyDescent="0.3">
      <c r="A47" s="109" t="s">
        <v>164</v>
      </c>
      <c r="B47" s="134">
        <v>5803.375</v>
      </c>
      <c r="C47" s="110">
        <v>14098</v>
      </c>
      <c r="E47" s="111">
        <v>167035</v>
      </c>
      <c r="F47" s="112">
        <f t="shared" si="8"/>
        <v>29</v>
      </c>
      <c r="G47" s="135">
        <f t="shared" si="9"/>
        <v>2.0570293658674988E-3</v>
      </c>
      <c r="I47" s="111">
        <v>1032070</v>
      </c>
      <c r="J47" s="112">
        <f t="shared" si="10"/>
        <v>178</v>
      </c>
      <c r="K47" s="135">
        <f t="shared" si="11"/>
        <v>1.2625904383600511E-2</v>
      </c>
      <c r="M47" s="111">
        <v>494000</v>
      </c>
      <c r="N47" s="112">
        <f t="shared" si="12"/>
        <v>85</v>
      </c>
      <c r="O47" s="135">
        <f t="shared" si="13"/>
        <v>6.029224003404738E-3</v>
      </c>
      <c r="Q47" s="136">
        <f t="shared" si="14"/>
        <v>292</v>
      </c>
      <c r="R47" s="135">
        <f t="shared" si="15"/>
        <v>2.0712157752872749E-2</v>
      </c>
    </row>
    <row r="48" spans="1:18" ht="15" customHeight="1" x14ac:dyDescent="0.3">
      <c r="A48" s="109" t="s">
        <v>165</v>
      </c>
      <c r="B48" s="134">
        <v>15282.625</v>
      </c>
      <c r="C48" s="110">
        <v>13184</v>
      </c>
      <c r="E48" s="111">
        <v>244630</v>
      </c>
      <c r="F48" s="112">
        <f t="shared" si="8"/>
        <v>16</v>
      </c>
      <c r="G48" s="135">
        <f t="shared" si="9"/>
        <v>1.2135922330097086E-3</v>
      </c>
      <c r="I48" s="111">
        <v>1676271</v>
      </c>
      <c r="J48" s="112">
        <f t="shared" si="10"/>
        <v>110</v>
      </c>
      <c r="K48" s="135">
        <f t="shared" si="11"/>
        <v>8.3434466019417473E-3</v>
      </c>
      <c r="M48" s="111">
        <v>871000</v>
      </c>
      <c r="N48" s="112">
        <f t="shared" si="12"/>
        <v>57</v>
      </c>
      <c r="O48" s="135">
        <f t="shared" si="13"/>
        <v>4.3234223300970872E-3</v>
      </c>
      <c r="Q48" s="136">
        <f t="shared" si="14"/>
        <v>183</v>
      </c>
      <c r="R48" s="135">
        <f t="shared" si="15"/>
        <v>1.3880461165048544E-2</v>
      </c>
    </row>
    <row r="49" spans="1:18" ht="15" customHeight="1" x14ac:dyDescent="0.3">
      <c r="A49" s="109" t="s">
        <v>166</v>
      </c>
      <c r="B49" s="134">
        <v>4293.875</v>
      </c>
      <c r="C49" s="110">
        <v>14281</v>
      </c>
      <c r="E49" s="111">
        <v>426341</v>
      </c>
      <c r="F49" s="112">
        <f t="shared" si="8"/>
        <v>99</v>
      </c>
      <c r="G49" s="135">
        <f t="shared" si="9"/>
        <v>6.932287654926126E-3</v>
      </c>
      <c r="I49" s="111">
        <v>2443553</v>
      </c>
      <c r="J49" s="112">
        <f t="shared" si="10"/>
        <v>569</v>
      </c>
      <c r="K49" s="135">
        <f t="shared" si="11"/>
        <v>3.9843148238918845E-2</v>
      </c>
      <c r="M49" s="111">
        <v>180000</v>
      </c>
      <c r="N49" s="112">
        <f t="shared" si="12"/>
        <v>42</v>
      </c>
      <c r="O49" s="135">
        <f t="shared" si="13"/>
        <v>2.9409705202716897E-3</v>
      </c>
      <c r="Q49" s="136">
        <f t="shared" si="14"/>
        <v>710</v>
      </c>
      <c r="R49" s="135">
        <f t="shared" si="15"/>
        <v>4.9716406414116655E-2</v>
      </c>
    </row>
    <row r="50" spans="1:18" ht="15" customHeight="1" x14ac:dyDescent="0.3">
      <c r="A50" s="109" t="s">
        <v>167</v>
      </c>
      <c r="B50" s="134">
        <v>3939.5</v>
      </c>
      <c r="C50" s="110">
        <v>15243</v>
      </c>
      <c r="E50" s="111">
        <v>71717</v>
      </c>
      <c r="F50" s="112">
        <f t="shared" si="8"/>
        <v>18</v>
      </c>
      <c r="G50" s="135">
        <f t="shared" si="9"/>
        <v>1.180869907498524E-3</v>
      </c>
      <c r="I50" s="111">
        <v>614822</v>
      </c>
      <c r="J50" s="112">
        <f t="shared" si="10"/>
        <v>156</v>
      </c>
      <c r="K50" s="135">
        <f t="shared" si="11"/>
        <v>1.0234205864987207E-2</v>
      </c>
      <c r="M50" s="111">
        <v>189000</v>
      </c>
      <c r="N50" s="112">
        <f t="shared" si="12"/>
        <v>48</v>
      </c>
      <c r="O50" s="135">
        <f t="shared" si="13"/>
        <v>3.1489864199960639E-3</v>
      </c>
      <c r="Q50" s="136">
        <f t="shared" si="14"/>
        <v>222</v>
      </c>
      <c r="R50" s="135">
        <f t="shared" si="15"/>
        <v>1.4564062192481795E-2</v>
      </c>
    </row>
    <row r="51" spans="1:18" ht="15" customHeight="1" x14ac:dyDescent="0.3">
      <c r="A51" s="109" t="s">
        <v>168</v>
      </c>
      <c r="B51" s="134">
        <v>10871.75</v>
      </c>
      <c r="C51" s="110">
        <v>13140</v>
      </c>
      <c r="E51" s="111">
        <v>421375</v>
      </c>
      <c r="F51" s="112">
        <f t="shared" si="8"/>
        <v>39</v>
      </c>
      <c r="G51" s="135">
        <f t="shared" si="9"/>
        <v>2.9680365296803654E-3</v>
      </c>
      <c r="I51" s="111">
        <v>4347795</v>
      </c>
      <c r="J51" s="112">
        <f t="shared" si="10"/>
        <v>400</v>
      </c>
      <c r="K51" s="135">
        <f t="shared" si="11"/>
        <v>3.0441400304414001E-2</v>
      </c>
      <c r="M51" s="111">
        <v>556000</v>
      </c>
      <c r="N51" s="112">
        <f t="shared" si="12"/>
        <v>51</v>
      </c>
      <c r="O51" s="135">
        <f t="shared" si="13"/>
        <v>3.8812785388127853E-3</v>
      </c>
      <c r="Q51" s="136">
        <f t="shared" si="14"/>
        <v>490</v>
      </c>
      <c r="R51" s="135">
        <f t="shared" si="15"/>
        <v>3.7290715372907152E-2</v>
      </c>
    </row>
    <row r="52" spans="1:18" ht="15" customHeight="1" x14ac:dyDescent="0.3">
      <c r="A52" s="109" t="s">
        <v>169</v>
      </c>
      <c r="B52" s="134">
        <v>5697.6875</v>
      </c>
      <c r="C52" s="110">
        <v>14321</v>
      </c>
      <c r="E52" s="111">
        <v>316860</v>
      </c>
      <c r="F52" s="112">
        <f t="shared" si="8"/>
        <v>56</v>
      </c>
      <c r="G52" s="135">
        <f t="shared" si="9"/>
        <v>3.9103414566021922E-3</v>
      </c>
      <c r="I52" s="111">
        <v>2085799</v>
      </c>
      <c r="J52" s="112">
        <f t="shared" si="10"/>
        <v>366</v>
      </c>
      <c r="K52" s="135">
        <f t="shared" si="11"/>
        <v>2.5556874519935758E-2</v>
      </c>
      <c r="M52" s="111">
        <v>359000</v>
      </c>
      <c r="N52" s="112">
        <f t="shared" si="12"/>
        <v>63</v>
      </c>
      <c r="O52" s="135">
        <f t="shared" si="13"/>
        <v>4.3991341386774669E-3</v>
      </c>
      <c r="Q52" s="136">
        <f t="shared" si="14"/>
        <v>485</v>
      </c>
      <c r="R52" s="135">
        <f t="shared" si="15"/>
        <v>3.3866350115215417E-2</v>
      </c>
    </row>
    <row r="53" spans="1:18" ht="15" customHeight="1" x14ac:dyDescent="0.3">
      <c r="A53" s="109" t="s">
        <v>170</v>
      </c>
      <c r="B53" s="134">
        <v>15922.625</v>
      </c>
      <c r="C53" s="110">
        <v>14373</v>
      </c>
      <c r="E53" s="111">
        <v>666817</v>
      </c>
      <c r="F53" s="112">
        <f t="shared" si="8"/>
        <v>42</v>
      </c>
      <c r="G53" s="135">
        <f t="shared" si="9"/>
        <v>2.9221456898351076E-3</v>
      </c>
      <c r="I53" s="111">
        <v>4769153</v>
      </c>
      <c r="J53" s="112">
        <f t="shared" si="10"/>
        <v>300</v>
      </c>
      <c r="K53" s="135">
        <f t="shared" si="11"/>
        <v>2.0872469213107911E-2</v>
      </c>
      <c r="M53" s="111">
        <v>1101000</v>
      </c>
      <c r="N53" s="112">
        <f t="shared" si="12"/>
        <v>69</v>
      </c>
      <c r="O53" s="135">
        <f t="shared" si="13"/>
        <v>4.8006679190148198E-3</v>
      </c>
      <c r="Q53" s="136">
        <f t="shared" si="14"/>
        <v>411</v>
      </c>
      <c r="R53" s="135">
        <f t="shared" si="15"/>
        <v>2.8595282821957838E-2</v>
      </c>
    </row>
    <row r="54" spans="1:18" ht="15" customHeight="1" x14ac:dyDescent="0.3">
      <c r="A54" s="109" t="s">
        <v>171</v>
      </c>
      <c r="B54" s="134">
        <v>974</v>
      </c>
      <c r="C54" s="110">
        <v>24134</v>
      </c>
      <c r="E54" s="111">
        <v>366932</v>
      </c>
      <c r="F54" s="112">
        <f t="shared" si="8"/>
        <v>377</v>
      </c>
      <c r="G54" s="135">
        <f t="shared" si="9"/>
        <v>1.5621115438800032E-2</v>
      </c>
      <c r="I54" s="111">
        <v>2110371</v>
      </c>
      <c r="J54" s="112">
        <f t="shared" si="10"/>
        <v>2167</v>
      </c>
      <c r="K54" s="135">
        <f t="shared" si="11"/>
        <v>8.9790337283500457E-2</v>
      </c>
      <c r="M54" s="111">
        <v>65000</v>
      </c>
      <c r="N54" s="112">
        <f t="shared" si="12"/>
        <v>67</v>
      </c>
      <c r="O54" s="135">
        <f t="shared" si="13"/>
        <v>2.7761664042429768E-3</v>
      </c>
      <c r="Q54" s="136">
        <f t="shared" si="14"/>
        <v>2611</v>
      </c>
      <c r="R54" s="135">
        <f t="shared" si="15"/>
        <v>0.10818761912654347</v>
      </c>
    </row>
    <row r="55" spans="1:18" ht="15" customHeight="1" x14ac:dyDescent="0.3">
      <c r="A55" s="109" t="s">
        <v>172</v>
      </c>
      <c r="B55" s="134">
        <v>6577.75</v>
      </c>
      <c r="C55" s="110">
        <v>14778</v>
      </c>
      <c r="E55" s="111">
        <v>188900</v>
      </c>
      <c r="F55" s="112">
        <f t="shared" si="8"/>
        <v>29</v>
      </c>
      <c r="G55" s="135">
        <f t="shared" si="9"/>
        <v>1.9623765056164567E-3</v>
      </c>
      <c r="I55" s="111">
        <v>1394890</v>
      </c>
      <c r="J55" s="112">
        <f t="shared" si="10"/>
        <v>212</v>
      </c>
      <c r="K55" s="135">
        <f t="shared" si="11"/>
        <v>1.4345648937609961E-2</v>
      </c>
      <c r="M55" s="111">
        <v>538000</v>
      </c>
      <c r="N55" s="112">
        <f t="shared" si="12"/>
        <v>82</v>
      </c>
      <c r="O55" s="135">
        <f t="shared" si="13"/>
        <v>5.548788740018947E-3</v>
      </c>
      <c r="Q55" s="136">
        <f t="shared" si="14"/>
        <v>323</v>
      </c>
      <c r="R55" s="135">
        <f t="shared" si="15"/>
        <v>2.1856814183245366E-2</v>
      </c>
    </row>
    <row r="56" spans="1:18" ht="15" customHeight="1" x14ac:dyDescent="0.3">
      <c r="A56" s="109" t="s">
        <v>173</v>
      </c>
      <c r="B56" s="134">
        <v>1816.5625</v>
      </c>
      <c r="C56" s="110">
        <v>18970</v>
      </c>
      <c r="E56" s="111">
        <v>184576</v>
      </c>
      <c r="F56" s="112">
        <f t="shared" si="8"/>
        <v>102</v>
      </c>
      <c r="G56" s="135">
        <f t="shared" si="9"/>
        <v>5.3769109119662624E-3</v>
      </c>
      <c r="I56" s="111">
        <v>1219814</v>
      </c>
      <c r="J56" s="112">
        <f t="shared" si="10"/>
        <v>671</v>
      </c>
      <c r="K56" s="135">
        <f t="shared" si="11"/>
        <v>3.5371639430680023E-2</v>
      </c>
      <c r="M56" s="111">
        <v>152000</v>
      </c>
      <c r="N56" s="112">
        <f t="shared" si="12"/>
        <v>84</v>
      </c>
      <c r="O56" s="135">
        <f t="shared" si="13"/>
        <v>4.4280442804428043E-3</v>
      </c>
      <c r="Q56" s="136">
        <f t="shared" si="14"/>
        <v>857</v>
      </c>
      <c r="R56" s="135">
        <f t="shared" si="15"/>
        <v>4.5176594623089088E-2</v>
      </c>
    </row>
    <row r="57" spans="1:18" ht="15" customHeight="1" x14ac:dyDescent="0.3">
      <c r="A57" s="109" t="s">
        <v>174</v>
      </c>
      <c r="B57" s="134">
        <v>8227.1284999999989</v>
      </c>
      <c r="C57" s="110">
        <v>14077</v>
      </c>
      <c r="E57" s="111">
        <v>283524</v>
      </c>
      <c r="F57" s="112">
        <f t="shared" si="8"/>
        <v>34</v>
      </c>
      <c r="G57" s="135">
        <f t="shared" si="9"/>
        <v>2.4152873481565673E-3</v>
      </c>
      <c r="I57" s="111">
        <v>2092311</v>
      </c>
      <c r="J57" s="112">
        <f t="shared" si="10"/>
        <v>254</v>
      </c>
      <c r="K57" s="135">
        <f t="shared" si="11"/>
        <v>1.8043617247993179E-2</v>
      </c>
      <c r="M57" s="111">
        <v>574000</v>
      </c>
      <c r="N57" s="112">
        <f t="shared" si="12"/>
        <v>70</v>
      </c>
      <c r="O57" s="135">
        <f t="shared" si="13"/>
        <v>4.9726504226752857E-3</v>
      </c>
      <c r="Q57" s="136">
        <f t="shared" si="14"/>
        <v>358</v>
      </c>
      <c r="R57" s="135">
        <f t="shared" si="15"/>
        <v>2.5431555018825033E-2</v>
      </c>
    </row>
    <row r="58" spans="1:18" ht="15" customHeight="1" x14ac:dyDescent="0.3">
      <c r="A58" s="109" t="s">
        <v>175</v>
      </c>
      <c r="B58" s="134">
        <v>583</v>
      </c>
      <c r="C58" s="110">
        <v>21738</v>
      </c>
      <c r="E58" s="111">
        <v>32744</v>
      </c>
      <c r="F58" s="112">
        <f t="shared" si="8"/>
        <v>56</v>
      </c>
      <c r="G58" s="135">
        <f t="shared" si="9"/>
        <v>2.5761339589658663E-3</v>
      </c>
      <c r="I58" s="111">
        <v>165582</v>
      </c>
      <c r="J58" s="112">
        <f t="shared" si="10"/>
        <v>284</v>
      </c>
      <c r="K58" s="135">
        <f t="shared" si="11"/>
        <v>1.3064679363326894E-2</v>
      </c>
      <c r="M58" s="111">
        <v>42000</v>
      </c>
      <c r="N58" s="112">
        <f t="shared" si="12"/>
        <v>72</v>
      </c>
      <c r="O58" s="135">
        <f t="shared" si="13"/>
        <v>3.3121722329561135E-3</v>
      </c>
      <c r="Q58" s="136">
        <f t="shared" si="14"/>
        <v>412</v>
      </c>
      <c r="R58" s="135">
        <f t="shared" si="15"/>
        <v>1.8952985555248873E-2</v>
      </c>
    </row>
    <row r="59" spans="1:18" ht="15" customHeight="1" x14ac:dyDescent="0.3">
      <c r="A59" s="109" t="s">
        <v>176</v>
      </c>
      <c r="B59" s="134">
        <v>4167.75</v>
      </c>
      <c r="C59" s="110">
        <v>17264</v>
      </c>
      <c r="E59" s="111">
        <v>557786</v>
      </c>
      <c r="F59" s="112">
        <f t="shared" si="8"/>
        <v>134</v>
      </c>
      <c r="G59" s="135">
        <f t="shared" si="9"/>
        <v>7.7618164967562554E-3</v>
      </c>
      <c r="I59" s="111">
        <v>3139707</v>
      </c>
      <c r="J59" s="112">
        <f t="shared" si="10"/>
        <v>753</v>
      </c>
      <c r="K59" s="135">
        <f t="shared" si="11"/>
        <v>4.3616774791473585E-2</v>
      </c>
      <c r="M59" s="111">
        <v>253000</v>
      </c>
      <c r="N59" s="112">
        <f t="shared" si="12"/>
        <v>61</v>
      </c>
      <c r="O59" s="135">
        <f t="shared" si="13"/>
        <v>3.5333642261353103E-3</v>
      </c>
      <c r="Q59" s="136">
        <f t="shared" si="14"/>
        <v>948</v>
      </c>
      <c r="R59" s="135">
        <f t="shared" si="15"/>
        <v>5.4911955514365153E-2</v>
      </c>
    </row>
    <row r="60" spans="1:18" ht="15" customHeight="1" x14ac:dyDescent="0.3">
      <c r="A60" s="109" t="s">
        <v>177</v>
      </c>
      <c r="B60" s="134">
        <v>6726.25</v>
      </c>
      <c r="C60" s="110">
        <v>15109</v>
      </c>
      <c r="E60" s="111">
        <v>561925</v>
      </c>
      <c r="F60" s="112">
        <f t="shared" si="8"/>
        <v>84</v>
      </c>
      <c r="G60" s="135">
        <f t="shared" si="9"/>
        <v>5.5596002382685816E-3</v>
      </c>
      <c r="I60" s="111">
        <v>4755432</v>
      </c>
      <c r="J60" s="112">
        <f t="shared" si="10"/>
        <v>707</v>
      </c>
      <c r="K60" s="135">
        <f t="shared" si="11"/>
        <v>4.679330200542723E-2</v>
      </c>
      <c r="M60" s="111">
        <v>512000</v>
      </c>
      <c r="N60" s="112">
        <f t="shared" si="12"/>
        <v>76</v>
      </c>
      <c r="O60" s="135">
        <f t="shared" si="13"/>
        <v>5.0301145012906215E-3</v>
      </c>
      <c r="Q60" s="136">
        <f t="shared" si="14"/>
        <v>867</v>
      </c>
      <c r="R60" s="135">
        <f t="shared" si="15"/>
        <v>5.7383016744986429E-2</v>
      </c>
    </row>
    <row r="61" spans="1:18" ht="15" customHeight="1" x14ac:dyDescent="0.3">
      <c r="A61" s="109" t="s">
        <v>178</v>
      </c>
      <c r="B61" s="134">
        <v>305</v>
      </c>
      <c r="C61" s="110">
        <v>39148</v>
      </c>
      <c r="E61" s="111">
        <v>57593</v>
      </c>
      <c r="F61" s="112">
        <f t="shared" si="8"/>
        <v>189</v>
      </c>
      <c r="G61" s="135">
        <f t="shared" si="9"/>
        <v>4.8278328394809437E-3</v>
      </c>
      <c r="I61" s="111">
        <v>295437</v>
      </c>
      <c r="J61" s="112">
        <f t="shared" si="10"/>
        <v>969</v>
      </c>
      <c r="K61" s="135">
        <f t="shared" si="11"/>
        <v>2.4752222335751507E-2</v>
      </c>
      <c r="M61" s="111">
        <v>25000</v>
      </c>
      <c r="N61" s="112">
        <f t="shared" si="12"/>
        <v>82</v>
      </c>
      <c r="O61" s="135">
        <f t="shared" si="13"/>
        <v>2.0946153060181875E-3</v>
      </c>
      <c r="Q61" s="136">
        <f t="shared" si="14"/>
        <v>1240</v>
      </c>
      <c r="R61" s="135">
        <f t="shared" si="15"/>
        <v>3.1674670481250639E-2</v>
      </c>
    </row>
    <row r="62" spans="1:18" ht="15" customHeight="1" x14ac:dyDescent="0.3">
      <c r="A62" s="109" t="s">
        <v>179</v>
      </c>
      <c r="B62" s="134">
        <v>1198</v>
      </c>
      <c r="C62" s="110">
        <v>20113</v>
      </c>
      <c r="E62" s="111">
        <v>118179</v>
      </c>
      <c r="F62" s="112">
        <f t="shared" si="8"/>
        <v>99</v>
      </c>
      <c r="G62" s="135">
        <f t="shared" si="9"/>
        <v>4.9221896285984185E-3</v>
      </c>
      <c r="I62" s="111">
        <v>783251</v>
      </c>
      <c r="J62" s="112">
        <f t="shared" si="10"/>
        <v>654</v>
      </c>
      <c r="K62" s="135">
        <f t="shared" si="11"/>
        <v>3.2516283001044102E-2</v>
      </c>
      <c r="M62" s="111">
        <v>100000</v>
      </c>
      <c r="N62" s="112">
        <f t="shared" si="12"/>
        <v>83</v>
      </c>
      <c r="O62" s="135">
        <f t="shared" si="13"/>
        <v>4.1266842340774625E-3</v>
      </c>
      <c r="Q62" s="136">
        <f t="shared" si="14"/>
        <v>836</v>
      </c>
      <c r="R62" s="135">
        <f t="shared" si="15"/>
        <v>4.1565156863719983E-2</v>
      </c>
    </row>
    <row r="63" spans="1:18" ht="15" customHeight="1" x14ac:dyDescent="0.3">
      <c r="A63" s="109" t="s">
        <v>180</v>
      </c>
      <c r="B63" s="134">
        <v>176.625</v>
      </c>
      <c r="C63" s="110">
        <v>47452</v>
      </c>
      <c r="E63" s="111">
        <v>51181</v>
      </c>
      <c r="F63" s="112">
        <f t="shared" si="8"/>
        <v>290</v>
      </c>
      <c r="G63" s="135">
        <f t="shared" si="9"/>
        <v>6.1114389277585768E-3</v>
      </c>
      <c r="I63" s="111">
        <v>282070</v>
      </c>
      <c r="J63" s="112">
        <f t="shared" si="10"/>
        <v>1597</v>
      </c>
      <c r="K63" s="135">
        <f t="shared" si="11"/>
        <v>3.3655061957346369E-2</v>
      </c>
      <c r="M63" s="111">
        <v>14000</v>
      </c>
      <c r="N63" s="112">
        <f t="shared" si="12"/>
        <v>79</v>
      </c>
      <c r="O63" s="135">
        <f t="shared" si="13"/>
        <v>1.6648402596307849E-3</v>
      </c>
      <c r="Q63" s="136">
        <f t="shared" si="14"/>
        <v>1966</v>
      </c>
      <c r="R63" s="135">
        <f t="shared" si="15"/>
        <v>4.1431341144735734E-2</v>
      </c>
    </row>
    <row r="64" spans="1:18" ht="15" customHeight="1" x14ac:dyDescent="0.3">
      <c r="A64" s="109" t="s">
        <v>181</v>
      </c>
      <c r="B64" s="134">
        <v>3412.875</v>
      </c>
      <c r="C64" s="110">
        <v>20231</v>
      </c>
      <c r="E64" s="111">
        <v>503247</v>
      </c>
      <c r="F64" s="112">
        <f t="shared" si="8"/>
        <v>147</v>
      </c>
      <c r="G64" s="135">
        <f t="shared" si="9"/>
        <v>7.2660768128120215E-3</v>
      </c>
      <c r="I64" s="111">
        <v>3654679</v>
      </c>
      <c r="J64" s="112">
        <f t="shared" si="10"/>
        <v>1071</v>
      </c>
      <c r="K64" s="135">
        <f t="shared" si="11"/>
        <v>5.2938559636201865E-2</v>
      </c>
      <c r="M64" s="111">
        <v>507000</v>
      </c>
      <c r="N64" s="112">
        <f t="shared" si="12"/>
        <v>149</v>
      </c>
      <c r="O64" s="135">
        <f t="shared" si="13"/>
        <v>7.3649350007414368E-3</v>
      </c>
      <c r="Q64" s="136">
        <f t="shared" si="14"/>
        <v>1367</v>
      </c>
      <c r="R64" s="135">
        <f t="shared" si="15"/>
        <v>6.7569571449755325E-2</v>
      </c>
    </row>
    <row r="65" spans="1:18" ht="15" customHeight="1" x14ac:dyDescent="0.3">
      <c r="A65" s="109" t="s">
        <v>182</v>
      </c>
      <c r="B65" s="134">
        <v>387.625</v>
      </c>
      <c r="C65" s="110">
        <v>28328</v>
      </c>
      <c r="E65" s="111">
        <v>130091</v>
      </c>
      <c r="F65" s="112">
        <f t="shared" si="8"/>
        <v>336</v>
      </c>
      <c r="G65" s="135">
        <f t="shared" si="9"/>
        <v>1.1861056198813894E-2</v>
      </c>
      <c r="I65" s="111">
        <v>769223</v>
      </c>
      <c r="J65" s="112">
        <f t="shared" si="10"/>
        <v>1984</v>
      </c>
      <c r="K65" s="135">
        <f t="shared" si="11"/>
        <v>7.0036712792996322E-2</v>
      </c>
      <c r="M65" s="111">
        <v>10000</v>
      </c>
      <c r="N65" s="112">
        <f t="shared" si="12"/>
        <v>26</v>
      </c>
      <c r="O65" s="135">
        <f t="shared" si="13"/>
        <v>9.1781982490821807E-4</v>
      </c>
      <c r="Q65" s="136">
        <f t="shared" si="14"/>
        <v>2346</v>
      </c>
      <c r="R65" s="135">
        <f t="shared" si="15"/>
        <v>8.2815588816718438E-2</v>
      </c>
    </row>
    <row r="66" spans="1:18" ht="15" customHeight="1" x14ac:dyDescent="0.3">
      <c r="A66" s="113" t="s">
        <v>183</v>
      </c>
      <c r="B66" s="137">
        <v>5924.5</v>
      </c>
      <c r="C66" s="110">
        <v>21392</v>
      </c>
      <c r="E66" s="111">
        <v>750415</v>
      </c>
      <c r="F66" s="112">
        <f t="shared" si="8"/>
        <v>127</v>
      </c>
      <c r="G66" s="135">
        <f t="shared" si="9"/>
        <v>5.9367988032909495E-3</v>
      </c>
      <c r="I66" s="111">
        <v>7658717</v>
      </c>
      <c r="J66" s="112">
        <f t="shared" si="10"/>
        <v>1293</v>
      </c>
      <c r="K66" s="135">
        <f t="shared" si="11"/>
        <v>6.0443156320119672E-2</v>
      </c>
      <c r="M66" s="111">
        <v>228000</v>
      </c>
      <c r="N66" s="112">
        <f t="shared" si="12"/>
        <v>38</v>
      </c>
      <c r="O66" s="135">
        <f t="shared" si="13"/>
        <v>1.7763649962602842E-3</v>
      </c>
      <c r="Q66" s="136">
        <f t="shared" si="14"/>
        <v>1458</v>
      </c>
      <c r="R66" s="135">
        <f t="shared" si="15"/>
        <v>6.8156320119670905E-2</v>
      </c>
    </row>
    <row r="67" spans="1:18" ht="18" customHeight="1" thickBot="1" x14ac:dyDescent="0.35">
      <c r="A67" s="163" t="s">
        <v>184</v>
      </c>
      <c r="B67" s="162">
        <f>SUM(B7:B66)</f>
        <v>587614.44420000003</v>
      </c>
      <c r="C67" s="161">
        <v>14108</v>
      </c>
      <c r="E67" s="160">
        <f>SUM(E7:E66)</f>
        <v>15403131</v>
      </c>
      <c r="F67" s="159">
        <f t="shared" si="8"/>
        <v>26</v>
      </c>
      <c r="G67" s="157">
        <f t="shared" si="9"/>
        <v>1.8429259994329459E-3</v>
      </c>
      <c r="H67" s="114"/>
      <c r="I67" s="160">
        <f>SUM(I7:I66)</f>
        <v>106597621</v>
      </c>
      <c r="J67" s="159">
        <f t="shared" si="10"/>
        <v>181</v>
      </c>
      <c r="K67" s="157">
        <f t="shared" si="11"/>
        <v>1.2829600226821662E-2</v>
      </c>
      <c r="L67" s="114"/>
      <c r="M67" s="160">
        <f>SUM(M7:M66)</f>
        <v>37452000</v>
      </c>
      <c r="N67" s="159">
        <f t="shared" si="12"/>
        <v>64</v>
      </c>
      <c r="O67" s="157">
        <f t="shared" si="13"/>
        <v>4.5364332293734051E-3</v>
      </c>
      <c r="P67" s="114"/>
      <c r="Q67" s="158">
        <f>SUM(E67,I67,M67)/B67</f>
        <v>271.35607977963315</v>
      </c>
      <c r="R67" s="157">
        <f t="shared" si="15"/>
        <v>1.9234199020387945E-2</v>
      </c>
    </row>
    <row r="68" spans="1:18" ht="15" thickTop="1" x14ac:dyDescent="0.3"/>
  </sheetData>
  <sheetProtection algorithmName="SHA-512" hashValue="IZQr7yiXkBoJ1bZaGnRxS2GWBkZHYDKOSXm4z8EBMqHKVmlkk4YNcviiuxN6M5btaWvEwCLhXAxPAXFrKU+i0Q==" saltValue="lZzmInFL3V0XkW/KBJslVA==" spinCount="100000" sheet="1" objects="1" scenarios="1" selectLockedCells="1" selectUnlockedCells="1"/>
  <mergeCells count="6">
    <mergeCell ref="A1:O1"/>
    <mergeCell ref="E3:G3"/>
    <mergeCell ref="I3:K3"/>
    <mergeCell ref="M3:O3"/>
    <mergeCell ref="Q3:R3"/>
    <mergeCell ref="Q1:R1"/>
  </mergeCells>
  <printOptions horizontalCentered="1" verticalCentered="1"/>
  <pageMargins left="0.11811023622047245" right="0.11811023622047245" top="0.11811023622047245" bottom="0.11811023622047245" header="0.31496062992125984" footer="0.31496062992125984"/>
  <pageSetup scale="5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B82-427C-4DCA-B658-C33026699A54}">
  <sheetPr>
    <tabColor rgb="FFFF0000"/>
  </sheetPr>
  <dimension ref="A1:D24"/>
  <sheetViews>
    <sheetView zoomScaleNormal="100" workbookViewId="0">
      <selection activeCell="F25" sqref="F25"/>
    </sheetView>
  </sheetViews>
  <sheetFormatPr defaultRowHeight="14.4" x14ac:dyDescent="0.3"/>
  <cols>
    <col min="1" max="1" width="20.6640625" customWidth="1"/>
    <col min="2" max="2" width="25.33203125" customWidth="1"/>
    <col min="3" max="3" width="51" customWidth="1"/>
    <col min="4" max="4" width="32.33203125" customWidth="1"/>
  </cols>
  <sheetData>
    <row r="1" spans="1:4" x14ac:dyDescent="0.3">
      <c r="A1" t="s">
        <v>185</v>
      </c>
      <c r="B1" t="s">
        <v>186</v>
      </c>
      <c r="C1" t="s">
        <v>187</v>
      </c>
      <c r="D1" t="s">
        <v>188</v>
      </c>
    </row>
    <row r="2" spans="1:4" x14ac:dyDescent="0.3">
      <c r="A2" t="s">
        <v>189</v>
      </c>
      <c r="B2" t="s">
        <v>190</v>
      </c>
      <c r="C2" t="s">
        <v>191</v>
      </c>
      <c r="D2" s="173">
        <f>'(1) Transportation Report '!D2</f>
        <v>0</v>
      </c>
    </row>
    <row r="3" spans="1:4" x14ac:dyDescent="0.3">
      <c r="A3" t="s">
        <v>189</v>
      </c>
      <c r="B3" t="s">
        <v>190</v>
      </c>
      <c r="C3" t="s">
        <v>306</v>
      </c>
      <c r="D3" s="173">
        <f>'(1) Transportation Report '!D4</f>
        <v>0</v>
      </c>
    </row>
    <row r="4" spans="1:4" x14ac:dyDescent="0.3">
      <c r="A4" t="s">
        <v>189</v>
      </c>
      <c r="B4" t="s">
        <v>190</v>
      </c>
      <c r="C4" t="s">
        <v>307</v>
      </c>
      <c r="D4" s="173">
        <f>'(1) Transportation Report '!D5</f>
        <v>0</v>
      </c>
    </row>
    <row r="5" spans="1:4" x14ac:dyDescent="0.3">
      <c r="A5" t="s">
        <v>189</v>
      </c>
      <c r="B5" t="s">
        <v>192</v>
      </c>
      <c r="C5" t="s">
        <v>193</v>
      </c>
      <c r="D5" s="174">
        <f>'(1) Transportation Report '!C8</f>
        <v>0</v>
      </c>
    </row>
    <row r="6" spans="1:4" x14ac:dyDescent="0.3">
      <c r="A6" t="s">
        <v>189</v>
      </c>
      <c r="B6" t="s">
        <v>192</v>
      </c>
      <c r="C6" t="s">
        <v>194</v>
      </c>
      <c r="D6" s="174">
        <f>'(1) Transportation Report '!C9</f>
        <v>0</v>
      </c>
    </row>
    <row r="7" spans="1:4" x14ac:dyDescent="0.3">
      <c r="A7" t="s">
        <v>189</v>
      </c>
      <c r="B7" t="s">
        <v>192</v>
      </c>
      <c r="C7" t="s">
        <v>195</v>
      </c>
      <c r="D7" s="174">
        <f>'(1) Transportation Report '!C10</f>
        <v>0</v>
      </c>
    </row>
    <row r="8" spans="1:4" x14ac:dyDescent="0.3">
      <c r="A8" t="s">
        <v>189</v>
      </c>
      <c r="B8" t="s">
        <v>192</v>
      </c>
      <c r="C8" t="s">
        <v>196</v>
      </c>
      <c r="D8" s="174">
        <f>'(1) Transportation Report '!C11</f>
        <v>0</v>
      </c>
    </row>
    <row r="9" spans="1:4" x14ac:dyDescent="0.3">
      <c r="A9" t="s">
        <v>189</v>
      </c>
      <c r="B9" t="s">
        <v>197</v>
      </c>
      <c r="C9" t="s">
        <v>305</v>
      </c>
      <c r="D9" s="173" t="str">
        <f>'(1) Transportation Report '!G14</f>
        <v>Select SD# Above</v>
      </c>
    </row>
    <row r="10" spans="1:4" x14ac:dyDescent="0.3">
      <c r="A10" t="s">
        <v>189</v>
      </c>
      <c r="B10" t="s">
        <v>198</v>
      </c>
      <c r="C10" t="s">
        <v>308</v>
      </c>
      <c r="D10" s="173" t="str">
        <f>'(1) Transportation Report '!D18</f>
        <v>Select SD# Above</v>
      </c>
    </row>
    <row r="11" spans="1:4" x14ac:dyDescent="0.3">
      <c r="A11" t="s">
        <v>189</v>
      </c>
      <c r="B11" t="s">
        <v>198</v>
      </c>
      <c r="C11" t="s">
        <v>309</v>
      </c>
      <c r="D11" s="173" t="str">
        <f>'(1) Transportation Report '!D20</f>
        <v>Select SD# Above</v>
      </c>
    </row>
    <row r="12" spans="1:4" x14ac:dyDescent="0.3">
      <c r="A12" t="s">
        <v>189</v>
      </c>
      <c r="B12" t="s">
        <v>198</v>
      </c>
      <c r="C12" t="s">
        <v>310</v>
      </c>
      <c r="D12" s="173" t="str">
        <f>'(1) Transportation Report '!D21</f>
        <v>Select SD# Above</v>
      </c>
    </row>
    <row r="13" spans="1:4" x14ac:dyDescent="0.3">
      <c r="A13" t="s">
        <v>189</v>
      </c>
      <c r="B13" t="s">
        <v>198</v>
      </c>
      <c r="C13" t="s">
        <v>311</v>
      </c>
      <c r="D13" s="173" t="str">
        <f>'(1) Transportation Report '!D22</f>
        <v>Select SD# Above</v>
      </c>
    </row>
    <row r="14" spans="1:4" x14ac:dyDescent="0.3">
      <c r="A14" t="s">
        <v>189</v>
      </c>
      <c r="B14" t="s">
        <v>198</v>
      </c>
      <c r="C14" t="s">
        <v>312</v>
      </c>
      <c r="D14" s="173">
        <f>'(1) Transportation Report '!D23</f>
        <v>0</v>
      </c>
    </row>
    <row r="15" spans="1:4" x14ac:dyDescent="0.3">
      <c r="A15" t="s">
        <v>189</v>
      </c>
      <c r="B15" t="s">
        <v>199</v>
      </c>
      <c r="C15" t="s">
        <v>200</v>
      </c>
      <c r="D15" s="173" t="str">
        <f>'(1) Transportation Report '!E18</f>
        <v>Select SD# Above</v>
      </c>
    </row>
    <row r="16" spans="1:4" x14ac:dyDescent="0.3">
      <c r="A16" t="s">
        <v>189</v>
      </c>
      <c r="B16" t="s">
        <v>199</v>
      </c>
      <c r="C16" t="s">
        <v>201</v>
      </c>
      <c r="D16" s="173" t="str">
        <f>'(1) Transportation Report '!F18</f>
        <v>Select SD# Above</v>
      </c>
    </row>
    <row r="17" spans="1:4" x14ac:dyDescent="0.3">
      <c r="A17" t="s">
        <v>189</v>
      </c>
      <c r="B17" t="s">
        <v>199</v>
      </c>
      <c r="C17" t="s">
        <v>202</v>
      </c>
      <c r="D17" s="173">
        <f>'(1) Transportation Report '!G23</f>
        <v>0</v>
      </c>
    </row>
    <row r="18" spans="1:4" x14ac:dyDescent="0.3">
      <c r="A18" t="s">
        <v>189</v>
      </c>
      <c r="B18" t="s">
        <v>199</v>
      </c>
      <c r="C18" t="s">
        <v>203</v>
      </c>
      <c r="D18" s="173">
        <f>'(1) Transportation Report '!H23</f>
        <v>0</v>
      </c>
    </row>
    <row r="19" spans="1:4" x14ac:dyDescent="0.3">
      <c r="A19" t="s">
        <v>189</v>
      </c>
      <c r="B19" t="s">
        <v>204</v>
      </c>
      <c r="C19" t="s">
        <v>205</v>
      </c>
      <c r="D19" s="173" t="str">
        <f>'(1) Transportation Report '!D26</f>
        <v>Select SD# Above</v>
      </c>
    </row>
    <row r="20" spans="1:4" x14ac:dyDescent="0.3">
      <c r="A20" t="s">
        <v>189</v>
      </c>
      <c r="B20" t="s">
        <v>204</v>
      </c>
      <c r="C20" t="s">
        <v>39</v>
      </c>
      <c r="D20" s="173" t="str">
        <f>'(1) Transportation Report '!E26</f>
        <v>Select SD# Above</v>
      </c>
    </row>
    <row r="21" spans="1:4" x14ac:dyDescent="0.3">
      <c r="A21" t="s">
        <v>189</v>
      </c>
      <c r="B21" t="s">
        <v>204</v>
      </c>
      <c r="C21" t="s">
        <v>40</v>
      </c>
      <c r="D21" s="173" t="str">
        <f>'(1) Transportation Report '!F26</f>
        <v>Select SD# Above</v>
      </c>
    </row>
    <row r="22" spans="1:4" x14ac:dyDescent="0.3">
      <c r="A22" t="s">
        <v>189</v>
      </c>
      <c r="B22" t="s">
        <v>204</v>
      </c>
      <c r="C22" t="s">
        <v>41</v>
      </c>
      <c r="D22" s="173">
        <f>'(1) Transportation Report '!G26</f>
        <v>0</v>
      </c>
    </row>
    <row r="23" spans="1:4" x14ac:dyDescent="0.3">
      <c r="A23" t="s">
        <v>189</v>
      </c>
      <c r="B23" t="s">
        <v>204</v>
      </c>
      <c r="C23" t="s">
        <v>42</v>
      </c>
      <c r="D23" s="173" t="str">
        <f>'(1) Transportation Report '!H26</f>
        <v>-</v>
      </c>
    </row>
    <row r="24" spans="1:4" x14ac:dyDescent="0.3">
      <c r="A24" t="s">
        <v>189</v>
      </c>
      <c r="B24" t="s">
        <v>206</v>
      </c>
      <c r="C24" t="s">
        <v>207</v>
      </c>
      <c r="D24" s="173">
        <f>'(1) Transportation Report '!H28</f>
        <v>0</v>
      </c>
    </row>
  </sheetData>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218A-111F-4AAA-A64F-A5472C9BC3C7}">
  <sheetPr>
    <tabColor rgb="FFFF0000"/>
  </sheetPr>
  <dimension ref="A1:AJ64"/>
  <sheetViews>
    <sheetView zoomScale="120" zoomScaleNormal="120" workbookViewId="0">
      <pane xSplit="2" ySplit="1" topLeftCell="C29" activePane="bottomRight" state="frozen"/>
      <selection pane="topRight" activeCell="C1" sqref="C1"/>
      <selection pane="bottomLeft" activeCell="A2" sqref="A2"/>
      <selection pane="bottomRight" activeCell="AJ3" sqref="AJ3:AJ62"/>
    </sheetView>
  </sheetViews>
  <sheetFormatPr defaultRowHeight="14.4" x14ac:dyDescent="0.3"/>
  <cols>
    <col min="1" max="1" width="12.44140625" customWidth="1"/>
    <col min="2" max="2" width="14.6640625" customWidth="1"/>
    <col min="3" max="3" width="19.6640625" customWidth="1"/>
    <col min="4" max="4" width="14.44140625" customWidth="1"/>
    <col min="5" max="5" width="22.33203125" customWidth="1"/>
    <col min="6" max="6" width="23" customWidth="1"/>
    <col min="7" max="7" width="20.6640625" customWidth="1"/>
    <col min="8" max="8" width="16.44140625" customWidth="1"/>
    <col min="9" max="9" width="23.5546875" customWidth="1"/>
    <col min="10" max="10" width="27.33203125" customWidth="1"/>
    <col min="11" max="11" width="22.6640625" customWidth="1"/>
    <col min="12" max="12" width="14.5546875" customWidth="1"/>
    <col min="13" max="13" width="16.44140625" customWidth="1"/>
    <col min="14" max="14" width="17.33203125" customWidth="1"/>
    <col min="15" max="17" width="18.6640625" customWidth="1"/>
    <col min="18" max="19" width="14.44140625" customWidth="1"/>
    <col min="20" max="20" width="21" customWidth="1"/>
    <col min="21" max="28" width="21.33203125" customWidth="1"/>
    <col min="30" max="30" width="13.6640625" customWidth="1"/>
    <col min="31" max="31" width="8.6640625" customWidth="1"/>
    <col min="33" max="33" width="14.5546875" customWidth="1"/>
    <col min="34" max="34" width="14.44140625" customWidth="1"/>
    <col min="35" max="35" width="16.5546875" style="118" customWidth="1"/>
    <col min="36" max="36" width="11.6640625" bestFit="1" customWidth="1"/>
    <col min="38" max="38" width="9.6640625" customWidth="1"/>
  </cols>
  <sheetData>
    <row r="1" spans="1:36" s="77" customFormat="1" ht="144" x14ac:dyDescent="0.3">
      <c r="A1" s="77" t="s">
        <v>191</v>
      </c>
      <c r="B1" s="77" t="s">
        <v>112</v>
      </c>
      <c r="C1" s="175" t="s">
        <v>208</v>
      </c>
      <c r="D1" s="154" t="s">
        <v>209</v>
      </c>
      <c r="E1" s="154" t="s">
        <v>210</v>
      </c>
      <c r="F1" s="175" t="s">
        <v>211</v>
      </c>
      <c r="G1" s="154" t="s">
        <v>212</v>
      </c>
      <c r="H1" s="154" t="s">
        <v>213</v>
      </c>
      <c r="I1" s="154" t="s">
        <v>214</v>
      </c>
      <c r="J1" s="154" t="s">
        <v>215</v>
      </c>
      <c r="K1" s="154" t="s">
        <v>216</v>
      </c>
      <c r="L1" s="154" t="s">
        <v>217</v>
      </c>
      <c r="M1" s="175" t="s">
        <v>218</v>
      </c>
      <c r="N1" s="154" t="s">
        <v>219</v>
      </c>
      <c r="O1" s="154" t="s">
        <v>220</v>
      </c>
      <c r="P1" s="171" t="s">
        <v>221</v>
      </c>
      <c r="Q1" s="171" t="s">
        <v>222</v>
      </c>
      <c r="R1" s="154" t="s">
        <v>223</v>
      </c>
      <c r="S1" s="77" t="s">
        <v>224</v>
      </c>
      <c r="T1" s="154" t="s">
        <v>225</v>
      </c>
      <c r="U1" s="154" t="s">
        <v>226</v>
      </c>
      <c r="V1" s="77" t="s">
        <v>227</v>
      </c>
      <c r="W1" s="77" t="s">
        <v>228</v>
      </c>
      <c r="X1" s="77" t="s">
        <v>229</v>
      </c>
      <c r="Y1" s="77" t="s">
        <v>230</v>
      </c>
      <c r="Z1" s="77" t="s">
        <v>231</v>
      </c>
      <c r="AA1" s="77" t="s">
        <v>232</v>
      </c>
      <c r="AB1" s="77" t="s">
        <v>233</v>
      </c>
      <c r="AC1" s="77" t="s">
        <v>234</v>
      </c>
      <c r="AD1" s="77" t="s">
        <v>235</v>
      </c>
      <c r="AE1" s="117" t="s">
        <v>236</v>
      </c>
      <c r="AF1" s="155" t="s">
        <v>237</v>
      </c>
      <c r="AG1" s="154" t="s">
        <v>238</v>
      </c>
      <c r="AH1" s="154" t="s">
        <v>239</v>
      </c>
      <c r="AI1" s="154" t="s">
        <v>240</v>
      </c>
      <c r="AJ1" s="77" t="s">
        <v>241</v>
      </c>
    </row>
    <row r="2" spans="1:36" s="77" customFormat="1" ht="28.8" x14ac:dyDescent="0.3">
      <c r="A2" s="77">
        <v>1</v>
      </c>
      <c r="B2" s="77" t="s">
        <v>242</v>
      </c>
      <c r="C2"/>
      <c r="D2" s="121">
        <v>2514</v>
      </c>
      <c r="E2" s="121">
        <v>22</v>
      </c>
      <c r="F2"/>
      <c r="G2" s="124">
        <v>123560</v>
      </c>
      <c r="H2" s="115">
        <v>2194405</v>
      </c>
      <c r="I2" s="5">
        <v>80620105</v>
      </c>
      <c r="J2" s="5">
        <v>361459</v>
      </c>
      <c r="K2" s="5">
        <v>2677601</v>
      </c>
      <c r="L2" s="5">
        <v>439000</v>
      </c>
      <c r="M2" s="115"/>
      <c r="N2" s="115">
        <v>34400</v>
      </c>
      <c r="O2" s="5">
        <v>0</v>
      </c>
      <c r="P2" s="5"/>
      <c r="Q2" s="5">
        <f>Table2[[#This Row],[2024-25 BCTEA To/from Carryover]]+Table2[[#This Row],[2024-25 BCTEA EX Carryover - REMAINING AFTER REPURPOSING]]</f>
        <v>34400</v>
      </c>
      <c r="R2" s="5">
        <v>39787</v>
      </c>
      <c r="S2" s="5">
        <f>Table2[[#This Row],[2025-26 BCTEA Approved]]-Table2[[#This Row],[2024-25 BCTEA To/from Carryover]]</f>
        <v>5387</v>
      </c>
      <c r="T2" s="5">
        <v>3525</v>
      </c>
      <c r="U2" s="5">
        <v>3525</v>
      </c>
      <c r="V2" s="5">
        <f>Table2[[#This Row],[2024-25 CDS Payment]]-W2</f>
        <v>0</v>
      </c>
      <c r="W2" s="5">
        <f>Table2[[#This Row],[2025-26 EX Allocation]]-Table2[[#This Row],[2023-24 Carryover Extracurricular repurposed repurposed for Extracurricular]]</f>
        <v>3525</v>
      </c>
      <c r="X2" s="5">
        <f>SUM(Table2[[#This Row],[Part of 2024-25 CDS Payment that is To/From]:[Part of 2024-25 CDS Payment that is Extracurricular]])-Table2[[#This Row],[2024-25 CDS Payment]]</f>
        <v>0</v>
      </c>
      <c r="Y2" s="5">
        <v>8185</v>
      </c>
      <c r="Z2" s="5"/>
      <c r="AA2" s="5"/>
      <c r="AB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11710</v>
      </c>
      <c r="AC2" s="5">
        <v>0</v>
      </c>
      <c r="AD2" s="5">
        <f>ROUND(IF(Table2[[#This Row],[2025-26 BCTEA Approved]]-Table2[[#This Row],[2024-25 BCTEA To/from Carryover]]-Table2[[#This Row],[ex Repurposed to TO/FROM - FOR REF. DNU]]&gt;0,Table2[[#This Row],[2025-26 BCTEA Approved]]-Table2[[#This Row],[2024-25 BCTEA To/from Carryover]]-Table2[[#This Row],[ex Repurposed to TO/FROM - FOR REF. DNU]], "$0"),0)</f>
        <v>5387</v>
      </c>
      <c r="AE2" s="118">
        <v>24</v>
      </c>
      <c r="AF2" s="118">
        <v>61</v>
      </c>
      <c r="AG2" s="5">
        <v>453</v>
      </c>
      <c r="AH2" s="5">
        <v>74</v>
      </c>
      <c r="AI2" s="5">
        <f>SUM(Table2[[#This Row],[2025-26 FN_STF]:[2025-26 FN_SSLF]])</f>
        <v>588</v>
      </c>
      <c r="AJ2" s="141">
        <f>Table2[[#This Row],[2025-26 FN_SR]]*Table2[[#This Row],[Student Count as per 2022-23 Nominal Roll]]</f>
        <v>14112</v>
      </c>
    </row>
    <row r="3" spans="1:36" x14ac:dyDescent="0.3">
      <c r="A3">
        <v>5</v>
      </c>
      <c r="B3" t="s">
        <v>243</v>
      </c>
      <c r="D3" s="121">
        <v>2514</v>
      </c>
      <c r="E3" s="121">
        <v>22</v>
      </c>
      <c r="G3" s="124">
        <v>123560</v>
      </c>
      <c r="H3" s="115">
        <v>2194405</v>
      </c>
      <c r="I3" s="5">
        <v>80620105</v>
      </c>
      <c r="J3" s="5">
        <v>361459</v>
      </c>
      <c r="K3" s="5">
        <v>2677601</v>
      </c>
      <c r="L3" s="5">
        <v>439000</v>
      </c>
      <c r="M3" s="115"/>
      <c r="N3" s="115">
        <v>34400</v>
      </c>
      <c r="O3" s="5">
        <v>0</v>
      </c>
      <c r="P3" s="5"/>
      <c r="Q3" s="5">
        <f>Table2[[#This Row],[2024-25 BCTEA To/from Carryover]]+Table2[[#This Row],[2024-25 BCTEA EX Carryover - REMAINING AFTER REPURPOSING]]</f>
        <v>34400</v>
      </c>
      <c r="R3" s="5">
        <v>43312</v>
      </c>
      <c r="S3" s="5">
        <f>Table2[[#This Row],[2025-26 BCTEA Approved]]-Table2[[#This Row],[2024-25 BCTEA To/from Carryover]]</f>
        <v>8912</v>
      </c>
      <c r="T3" s="5">
        <v>3525</v>
      </c>
      <c r="U3" s="5">
        <v>31602</v>
      </c>
      <c r="V3" s="5">
        <f>Table2[[#This Row],[2024-25 CDS Payment]]-W3</f>
        <v>28077</v>
      </c>
      <c r="W3" s="5">
        <f>Table2[[#This Row],[2025-26 EX Allocation]]-Table2[[#This Row],[2023-24 Carryover Extracurricular repurposed repurposed for Extracurricular]]</f>
        <v>3525</v>
      </c>
      <c r="X3" s="5">
        <f>SUM(Table2[[#This Row],[Part of 2024-25 CDS Payment that is To/From]:[Part of 2024-25 CDS Payment that is Extracurricular]])-Table2[[#This Row],[2024-25 CDS Payment]]</f>
        <v>0</v>
      </c>
      <c r="Y3" s="5">
        <v>8185</v>
      </c>
      <c r="Z3" s="5"/>
      <c r="AA3" s="5"/>
      <c r="AB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11710</v>
      </c>
      <c r="AC3" s="5">
        <v>0</v>
      </c>
      <c r="AD3" s="5">
        <f>ROUND(IF(Table2[[#This Row],[2025-26 BCTEA Approved]]-Table2[[#This Row],[2024-25 BCTEA To/from Carryover]]-Table2[[#This Row],[ex Repurposed to TO/FROM - FOR REF. DNU]]&gt;0,Table2[[#This Row],[2025-26 BCTEA Approved]]-Table2[[#This Row],[2024-25 BCTEA To/from Carryover]]-Table2[[#This Row],[ex Repurposed to TO/FROM - FOR REF. DNU]], "$0"),0)</f>
        <v>8912</v>
      </c>
      <c r="AE3" s="118">
        <v>24</v>
      </c>
      <c r="AF3" s="118">
        <v>61</v>
      </c>
      <c r="AG3" s="5">
        <v>453</v>
      </c>
      <c r="AH3" s="5">
        <v>74</v>
      </c>
      <c r="AI3" s="5">
        <v>588</v>
      </c>
      <c r="AJ3" s="5">
        <f>Table2[[#This Row],[2025-26 FN_SR]]*Table2[[#This Row],[Student Count as per 2022-23 Nominal Roll]]</f>
        <v>14112</v>
      </c>
    </row>
    <row r="4" spans="1:36" x14ac:dyDescent="0.3">
      <c r="A4">
        <v>6</v>
      </c>
      <c r="B4" t="s">
        <v>244</v>
      </c>
      <c r="D4" s="121">
        <v>1600</v>
      </c>
      <c r="E4" s="121">
        <v>48</v>
      </c>
      <c r="G4" s="124">
        <v>62700</v>
      </c>
      <c r="H4" s="115">
        <v>2106065</v>
      </c>
      <c r="I4" s="5">
        <v>48768850</v>
      </c>
      <c r="J4" s="5">
        <v>369399</v>
      </c>
      <c r="K4" s="5">
        <v>2746056</v>
      </c>
      <c r="L4" s="5">
        <v>186000</v>
      </c>
      <c r="M4" s="115"/>
      <c r="N4" s="115">
        <v>0</v>
      </c>
      <c r="O4" s="5">
        <v>0</v>
      </c>
      <c r="P4" s="5"/>
      <c r="Q4" s="5">
        <f>Table2[[#This Row],[2024-25 BCTEA To/from Carryover]]+Table2[[#This Row],[2024-25 BCTEA EX Carryover - REMAINING AFTER REPURPOSING]]</f>
        <v>0</v>
      </c>
      <c r="R4" s="5">
        <v>24764</v>
      </c>
      <c r="S4" s="5">
        <f>Table2[[#This Row],[2025-26 BCTEA Approved]]-Table2[[#This Row],[2024-25 BCTEA To/from Carryover]]</f>
        <v>24764</v>
      </c>
      <c r="T4" s="5">
        <v>6900</v>
      </c>
      <c r="U4" s="5">
        <v>5042</v>
      </c>
      <c r="V4" s="5">
        <f>Table2[[#This Row],[2024-25 CDS Payment]]-W4</f>
        <v>-1858</v>
      </c>
      <c r="W4" s="5">
        <f>Table2[[#This Row],[2025-26 EX Allocation]]-Table2[[#This Row],[2023-24 Carryover Extracurricular repurposed repurposed for Extracurricular]]</f>
        <v>6900</v>
      </c>
      <c r="X4" s="5">
        <f>SUM(Table2[[#This Row],[Part of 2024-25 CDS Payment that is To/From]:[Part of 2024-25 CDS Payment that is Extracurricular]])-Table2[[#This Row],[2024-25 CDS Payment]]</f>
        <v>0</v>
      </c>
      <c r="Y4" s="5">
        <v>15939</v>
      </c>
      <c r="Z4" s="5"/>
      <c r="AA4" s="5"/>
      <c r="AB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22839</v>
      </c>
      <c r="AC4" s="5">
        <v>0</v>
      </c>
      <c r="AD4" s="5">
        <f>ROUND(IF(Table2[[#This Row],[2025-26 BCTEA Approved]]-Table2[[#This Row],[2024-25 BCTEA To/from Carryover]]-Table2[[#This Row],[ex Repurposed to TO/FROM - FOR REF. DNU]]&gt;0,Table2[[#This Row],[2025-26 BCTEA Approved]]-Table2[[#This Row],[2024-25 BCTEA To/from Carryover]]-Table2[[#This Row],[ex Repurposed to TO/FROM - FOR REF. DNU]], "$0"),0)</f>
        <v>24764</v>
      </c>
      <c r="AE4" s="118">
        <v>47</v>
      </c>
      <c r="AF4" s="118">
        <v>105</v>
      </c>
      <c r="AG4" s="5">
        <v>783</v>
      </c>
      <c r="AH4" s="5">
        <v>53</v>
      </c>
      <c r="AI4" s="5">
        <v>941</v>
      </c>
      <c r="AJ4" s="5">
        <f>Table2[[#This Row],[2025-26 FN_SR]]*Table2[[#This Row],[Student Count as per 2022-23 Nominal Roll]]</f>
        <v>44227</v>
      </c>
    </row>
    <row r="5" spans="1:36" x14ac:dyDescent="0.3">
      <c r="A5">
        <v>8</v>
      </c>
      <c r="B5" t="s">
        <v>245</v>
      </c>
      <c r="D5" s="121">
        <v>2340</v>
      </c>
      <c r="E5" s="121">
        <v>6</v>
      </c>
      <c r="G5" s="124">
        <v>5624</v>
      </c>
      <c r="H5" s="115">
        <v>3215322</v>
      </c>
      <c r="I5" s="5">
        <v>62328443</v>
      </c>
      <c r="J5" s="5">
        <v>419602</v>
      </c>
      <c r="K5" s="5">
        <v>2581554</v>
      </c>
      <c r="L5" s="5">
        <v>230000</v>
      </c>
      <c r="M5" s="115"/>
      <c r="N5" s="115">
        <v>100</v>
      </c>
      <c r="O5" s="5">
        <v>0</v>
      </c>
      <c r="P5" s="5"/>
      <c r="Q5" s="5">
        <f>Table2[[#This Row],[2024-25 BCTEA To/from Carryover]]+Table2[[#This Row],[2024-25 BCTEA EX Carryover - REMAINING AFTER REPURPOSING]]</f>
        <v>100</v>
      </c>
      <c r="R5" s="5">
        <v>30751</v>
      </c>
      <c r="S5" s="5">
        <f>Table2[[#This Row],[2025-26 BCTEA Approved]]-Table2[[#This Row],[2024-25 BCTEA To/from Carryover]]</f>
        <v>30651</v>
      </c>
      <c r="T5" s="5">
        <v>1177</v>
      </c>
      <c r="U5" s="5">
        <v>30751</v>
      </c>
      <c r="V5" s="5">
        <f>Table2[[#This Row],[2024-25 CDS Payment]]-W5</f>
        <v>29574</v>
      </c>
      <c r="W5" s="5">
        <f>Table2[[#This Row],[2025-26 EX Allocation]]-Table2[[#This Row],[2023-24 Carryover Extracurricular repurposed repurposed for Extracurricular]]</f>
        <v>1177</v>
      </c>
      <c r="X5" s="5">
        <f>SUM(Table2[[#This Row],[Part of 2024-25 CDS Payment that is To/From]:[Part of 2024-25 CDS Payment that is Extracurricular]])-Table2[[#This Row],[2024-25 CDS Payment]]</f>
        <v>0</v>
      </c>
      <c r="Y5" s="5">
        <v>0</v>
      </c>
      <c r="Z5" s="5"/>
      <c r="AA5" s="5"/>
      <c r="AB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1177</v>
      </c>
      <c r="AC5" s="5">
        <v>0</v>
      </c>
      <c r="AD5" s="5">
        <f>ROUND(IF(Table2[[#This Row],[2025-26 BCTEA Approved]]-Table2[[#This Row],[2024-25 BCTEA To/from Carryover]]-Table2[[#This Row],[ex Repurposed to TO/FROM - FOR REF. DNU]]&gt;0,Table2[[#This Row],[2025-26 BCTEA Approved]]-Table2[[#This Row],[2024-25 BCTEA To/from Carryover]]-Table2[[#This Row],[ex Repurposed to TO/FROM - FOR REF. DNU]], "$0"),0)</f>
        <v>30651</v>
      </c>
      <c r="AE5" s="118">
        <v>8</v>
      </c>
      <c r="AF5" s="118">
        <v>91</v>
      </c>
      <c r="AG5" s="5">
        <v>559</v>
      </c>
      <c r="AH5" s="5">
        <v>50</v>
      </c>
      <c r="AI5" s="5">
        <v>700</v>
      </c>
      <c r="AJ5" s="5">
        <f>Table2[[#This Row],[2025-26 FN_SR]]*Table2[[#This Row],[Student Count as per 2022-23 Nominal Roll]]</f>
        <v>5600</v>
      </c>
    </row>
    <row r="6" spans="1:36" x14ac:dyDescent="0.3">
      <c r="A6">
        <v>10</v>
      </c>
      <c r="B6" t="s">
        <v>246</v>
      </c>
      <c r="D6" s="122"/>
      <c r="E6" s="122"/>
      <c r="G6" s="124"/>
      <c r="H6" s="115">
        <v>496666</v>
      </c>
      <c r="I6" s="5">
        <v>11259287</v>
      </c>
      <c r="J6" s="5">
        <v>42675</v>
      </c>
      <c r="K6" s="5">
        <v>442317</v>
      </c>
      <c r="L6" s="5">
        <v>59000</v>
      </c>
      <c r="M6" s="115"/>
      <c r="N6" s="115"/>
      <c r="O6" s="5"/>
      <c r="P6" s="5"/>
      <c r="Q6" s="5">
        <f>Table2[[#This Row],[2024-25 BCTEA To/from Carryover]]+Table2[[#This Row],[2024-25 BCTEA EX Carryover - REMAINING AFTER REPURPOSING]]</f>
        <v>0</v>
      </c>
      <c r="R6" s="5">
        <v>0</v>
      </c>
      <c r="S6" s="5">
        <f>Table2[[#This Row],[2025-26 BCTEA Approved]]-Table2[[#This Row],[2024-25 BCTEA To/from Carryover]]</f>
        <v>0</v>
      </c>
      <c r="T6" s="5">
        <v>0</v>
      </c>
      <c r="U6" s="5">
        <v>0</v>
      </c>
      <c r="V6" s="5">
        <f>Table2[[#This Row],[2024-25 CDS Payment]]-W6</f>
        <v>0</v>
      </c>
      <c r="W6" s="5">
        <f>Table2[[#This Row],[2025-26 EX Allocation]]-Table2[[#This Row],[2023-24 Carryover Extracurricular repurposed repurposed for Extracurricular]]</f>
        <v>0</v>
      </c>
      <c r="X6" s="5">
        <f>SUM(Table2[[#This Row],[Part of 2024-25 CDS Payment that is To/From]:[Part of 2024-25 CDS Payment that is Extracurricular]])-Table2[[#This Row],[2024-25 CDS Payment]]</f>
        <v>0</v>
      </c>
      <c r="Y6" s="5"/>
      <c r="Z6" s="5"/>
      <c r="AA6" s="5"/>
      <c r="AB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6" s="5">
        <v>0</v>
      </c>
      <c r="AD6"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6" s="118"/>
      <c r="AF6" s="118">
        <v>81</v>
      </c>
      <c r="AG6" s="5">
        <v>843</v>
      </c>
      <c r="AH6" s="5">
        <v>112</v>
      </c>
      <c r="AI6" s="5">
        <v>1036</v>
      </c>
      <c r="AJ6" s="5">
        <f>Table2[[#This Row],[2025-26 FN_SR]]*Table2[[#This Row],[Student Count as per 2022-23 Nominal Roll]]</f>
        <v>0</v>
      </c>
    </row>
    <row r="7" spans="1:36" x14ac:dyDescent="0.3">
      <c r="A7">
        <v>19</v>
      </c>
      <c r="B7" t="s">
        <v>247</v>
      </c>
      <c r="D7" s="122"/>
      <c r="E7" s="122"/>
      <c r="G7" s="124"/>
      <c r="H7" s="115">
        <v>235794</v>
      </c>
      <c r="I7" s="5">
        <v>15754724</v>
      </c>
      <c r="J7" s="5">
        <v>49847</v>
      </c>
      <c r="K7" s="5">
        <v>572611</v>
      </c>
      <c r="L7" s="5">
        <v>88000</v>
      </c>
      <c r="M7" s="115"/>
      <c r="N7" s="115"/>
      <c r="O7" s="5"/>
      <c r="P7" s="5"/>
      <c r="Q7" s="5">
        <f>Table2[[#This Row],[2024-25 BCTEA To/from Carryover]]+Table2[[#This Row],[2024-25 BCTEA EX Carryover - REMAINING AFTER REPURPOSING]]</f>
        <v>0</v>
      </c>
      <c r="R7" s="5">
        <v>0</v>
      </c>
      <c r="S7" s="5">
        <f>Table2[[#This Row],[2025-26 BCTEA Approved]]-Table2[[#This Row],[2024-25 BCTEA To/from Carryover]]</f>
        <v>0</v>
      </c>
      <c r="T7" s="5">
        <v>0</v>
      </c>
      <c r="U7" s="5">
        <v>0</v>
      </c>
      <c r="V7" s="5">
        <f>Table2[[#This Row],[2024-25 CDS Payment]]-W7</f>
        <v>0</v>
      </c>
      <c r="W7" s="5">
        <f>Table2[[#This Row],[2025-26 EX Allocation]]-Table2[[#This Row],[2023-24 Carryover Extracurricular repurposed repurposed for Extracurricular]]</f>
        <v>0</v>
      </c>
      <c r="X7" s="5">
        <f>SUM(Table2[[#This Row],[Part of 2024-25 CDS Payment that is To/From]:[Part of 2024-25 CDS Payment that is Extracurricular]])-Table2[[#This Row],[2024-25 CDS Payment]]</f>
        <v>0</v>
      </c>
      <c r="Y7" s="5"/>
      <c r="Z7" s="5"/>
      <c r="AA7" s="5"/>
      <c r="AB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7" s="5">
        <v>0</v>
      </c>
      <c r="AD7"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7" s="118"/>
      <c r="AF7" s="118">
        <v>45</v>
      </c>
      <c r="AG7" s="5">
        <v>518</v>
      </c>
      <c r="AH7" s="5">
        <v>80</v>
      </c>
      <c r="AI7" s="5">
        <v>643</v>
      </c>
      <c r="AJ7" s="5">
        <f>Table2[[#This Row],[2025-26 FN_SR]]*Table2[[#This Row],[Student Count as per 2022-23 Nominal Roll]]</f>
        <v>0</v>
      </c>
    </row>
    <row r="8" spans="1:36" x14ac:dyDescent="0.3">
      <c r="A8">
        <v>20</v>
      </c>
      <c r="B8" t="s">
        <v>248</v>
      </c>
      <c r="D8" s="122"/>
      <c r="E8" s="122"/>
      <c r="G8" s="124"/>
      <c r="H8" s="115">
        <v>1503189</v>
      </c>
      <c r="I8" s="5">
        <v>52902276</v>
      </c>
      <c r="J8" s="5">
        <v>242977</v>
      </c>
      <c r="K8" s="5">
        <v>1883134</v>
      </c>
      <c r="L8" s="5">
        <v>263000</v>
      </c>
      <c r="M8" s="115"/>
      <c r="N8" s="115"/>
      <c r="O8" s="5"/>
      <c r="P8" s="5"/>
      <c r="Q8" s="5">
        <f>Table2[[#This Row],[2024-25 BCTEA To/from Carryover]]+Table2[[#This Row],[2024-25 BCTEA EX Carryover - REMAINING AFTER REPURPOSING]]</f>
        <v>0</v>
      </c>
      <c r="R8" s="5">
        <v>0</v>
      </c>
      <c r="S8" s="5">
        <f>Table2[[#This Row],[2025-26 BCTEA Approved]]-Table2[[#This Row],[2024-25 BCTEA To/from Carryover]]</f>
        <v>0</v>
      </c>
      <c r="T8" s="5">
        <v>0</v>
      </c>
      <c r="U8" s="5">
        <v>0</v>
      </c>
      <c r="V8" s="5">
        <f>Table2[[#This Row],[2024-25 CDS Payment]]-W8</f>
        <v>0</v>
      </c>
      <c r="W8" s="5">
        <f>Table2[[#This Row],[2025-26 EX Allocation]]-Table2[[#This Row],[2023-24 Carryover Extracurricular repurposed repurposed for Extracurricular]]</f>
        <v>0</v>
      </c>
      <c r="X8" s="5">
        <f>SUM(Table2[[#This Row],[Part of 2024-25 CDS Payment that is To/From]:[Part of 2024-25 CDS Payment that is Extracurricular]])-Table2[[#This Row],[2024-25 CDS Payment]]</f>
        <v>0</v>
      </c>
      <c r="Y8" s="5"/>
      <c r="Z8" s="5"/>
      <c r="AA8" s="5"/>
      <c r="AB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8" s="5">
        <v>0</v>
      </c>
      <c r="AD8"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8" s="118"/>
      <c r="AF8" s="118">
        <v>58</v>
      </c>
      <c r="AG8" s="5">
        <v>453</v>
      </c>
      <c r="AH8" s="5">
        <v>63</v>
      </c>
      <c r="AI8" s="5">
        <v>574</v>
      </c>
      <c r="AJ8" s="5">
        <f>Table2[[#This Row],[2025-26 FN_SR]]*Table2[[#This Row],[Student Count as per 2022-23 Nominal Roll]]</f>
        <v>0</v>
      </c>
    </row>
    <row r="9" spans="1:36" x14ac:dyDescent="0.3">
      <c r="A9">
        <v>22</v>
      </c>
      <c r="B9" t="s">
        <v>249</v>
      </c>
      <c r="D9" s="121">
        <v>2500</v>
      </c>
      <c r="E9" s="121">
        <v>97</v>
      </c>
      <c r="G9" s="124">
        <v>237646</v>
      </c>
      <c r="H9" s="115">
        <v>2459879</v>
      </c>
      <c r="I9" s="5">
        <v>110735786</v>
      </c>
      <c r="J9" s="5">
        <v>361094</v>
      </c>
      <c r="K9" s="5">
        <v>2344529</v>
      </c>
      <c r="L9" s="5">
        <v>601000</v>
      </c>
      <c r="M9" s="115"/>
      <c r="N9" s="115">
        <v>0</v>
      </c>
      <c r="O9" s="5">
        <v>0</v>
      </c>
      <c r="P9" s="5"/>
      <c r="Q9" s="5">
        <f>Table2[[#This Row],[2024-25 BCTEA To/from Carryover]]+Table2[[#This Row],[2024-25 BCTEA EX Carryover - REMAINING AFTER REPURPOSING]]</f>
        <v>0</v>
      </c>
      <c r="R9" s="5">
        <v>139092</v>
      </c>
      <c r="S9" s="5">
        <f>Table2[[#This Row],[2025-26 BCTEA Approved]]-Table2[[#This Row],[2024-25 BCTEA To/from Carryover]]</f>
        <v>139092</v>
      </c>
      <c r="T9" s="5">
        <v>15997</v>
      </c>
      <c r="U9" s="5">
        <v>106668</v>
      </c>
      <c r="V9" s="5">
        <f>Table2[[#This Row],[2024-25 CDS Payment]]-W9</f>
        <v>90671</v>
      </c>
      <c r="W9" s="5">
        <f>Table2[[#This Row],[2025-26 EX Allocation]]-Table2[[#This Row],[2023-24 Carryover Extracurricular repurposed repurposed for Extracurricular]]</f>
        <v>15997</v>
      </c>
      <c r="X9" s="5">
        <f>SUM(Table2[[#This Row],[Part of 2024-25 CDS Payment that is To/From]:[Part of 2024-25 CDS Payment that is Extracurricular]])-Table2[[#This Row],[2024-25 CDS Payment]]</f>
        <v>0</v>
      </c>
      <c r="Y9" s="5">
        <v>16938</v>
      </c>
      <c r="Z9" s="5"/>
      <c r="AA9" s="5"/>
      <c r="AB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32935</v>
      </c>
      <c r="AC9" s="5">
        <v>0</v>
      </c>
      <c r="AD9" s="5">
        <f>ROUND(IF(Table2[[#This Row],[2025-26 BCTEA Approved]]-Table2[[#This Row],[2024-25 BCTEA To/from Carryover]]-Table2[[#This Row],[ex Repurposed to TO/FROM - FOR REF. DNU]]&gt;0,Table2[[#This Row],[2025-26 BCTEA Approved]]-Table2[[#This Row],[2024-25 BCTEA To/from Carryover]]-Table2[[#This Row],[ex Repurposed to TO/FROM - FOR REF. DNU]], "$0"),0)</f>
        <v>139092</v>
      </c>
      <c r="AE9" s="118">
        <v>109</v>
      </c>
      <c r="AF9" s="118">
        <v>41</v>
      </c>
      <c r="AG9" s="5">
        <v>266</v>
      </c>
      <c r="AH9" s="5">
        <v>68</v>
      </c>
      <c r="AI9" s="5">
        <v>375</v>
      </c>
      <c r="AJ9" s="5">
        <f>Table2[[#This Row],[2025-26 FN_SR]]*Table2[[#This Row],[Student Count as per 2022-23 Nominal Roll]]</f>
        <v>40875</v>
      </c>
    </row>
    <row r="10" spans="1:36" x14ac:dyDescent="0.3">
      <c r="A10">
        <v>23</v>
      </c>
      <c r="B10" t="s">
        <v>250</v>
      </c>
      <c r="D10" s="121">
        <v>5157</v>
      </c>
      <c r="E10" s="121">
        <v>4</v>
      </c>
      <c r="G10" s="124">
        <v>5413</v>
      </c>
      <c r="H10" s="115">
        <v>5892399</v>
      </c>
      <c r="I10" s="5">
        <v>290752389</v>
      </c>
      <c r="J10" s="5">
        <v>600000</v>
      </c>
      <c r="K10" s="5">
        <v>3890108</v>
      </c>
      <c r="L10" s="5">
        <v>1627000</v>
      </c>
      <c r="M10" s="115"/>
      <c r="N10" s="115">
        <v>0</v>
      </c>
      <c r="O10" s="5">
        <v>0</v>
      </c>
      <c r="P10" s="5"/>
      <c r="Q10" s="5">
        <f>Table2[[#This Row],[2024-25 BCTEA To/from Carryover]]+Table2[[#This Row],[2024-25 BCTEA EX Carryover - REMAINING AFTER REPURPOSING]]</f>
        <v>0</v>
      </c>
      <c r="R10" s="5">
        <v>7366</v>
      </c>
      <c r="S10" s="5">
        <f>Table2[[#This Row],[2025-26 BCTEA Approved]]-Table2[[#This Row],[2024-25 BCTEA To/from Carryover]]</f>
        <v>7366</v>
      </c>
      <c r="T10" s="5">
        <v>1911</v>
      </c>
      <c r="U10" s="5">
        <v>1724</v>
      </c>
      <c r="V10" s="5">
        <f>Table2[[#This Row],[2024-25 CDS Payment]]-W10</f>
        <v>1724</v>
      </c>
      <c r="W10" s="5">
        <f>Table2[[#This Row],[2025-26 EX Allocation]]-Table2[[#This Row],[2023-24 Carryover Extracurricular repurposed repurposed for Extracurricular]]</f>
        <v>0</v>
      </c>
      <c r="X10" s="5">
        <f>SUM(Table2[[#This Row],[Part of 2024-25 CDS Payment that is To/From]:[Part of 2024-25 CDS Payment that is Extracurricular]])-Table2[[#This Row],[2024-25 CDS Payment]]</f>
        <v>0</v>
      </c>
      <c r="Y10" s="5">
        <v>5642</v>
      </c>
      <c r="Z10" s="5"/>
      <c r="AA10" s="5">
        <v>1911</v>
      </c>
      <c r="AB1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5642</v>
      </c>
      <c r="AC10" s="5">
        <v>0</v>
      </c>
      <c r="AD10" s="5">
        <f>ROUND(IF(Table2[[#This Row],[2025-26 BCTEA Approved]]-Table2[[#This Row],[2024-25 BCTEA To/from Carryover]]-Table2[[#This Row],[ex Repurposed to TO/FROM - FOR REF. DNU]]&gt;0,Table2[[#This Row],[2025-26 BCTEA Approved]]-Table2[[#This Row],[2024-25 BCTEA To/from Carryover]]-Table2[[#This Row],[ex Repurposed to TO/FROM - FOR REF. DNU]], "$0"),0)</f>
        <v>7366</v>
      </c>
      <c r="AE10" s="118">
        <v>13</v>
      </c>
      <c r="AF10" s="118">
        <v>24</v>
      </c>
      <c r="AG10" s="5">
        <v>157</v>
      </c>
      <c r="AH10" s="5">
        <v>66</v>
      </c>
      <c r="AI10" s="5">
        <v>247</v>
      </c>
      <c r="AJ10" s="5">
        <f>Table2[[#This Row],[2025-26 FN_SR]]*Table2[[#This Row],[Student Count as per 2022-23 Nominal Roll]]</f>
        <v>3211</v>
      </c>
    </row>
    <row r="11" spans="1:36" x14ac:dyDescent="0.3">
      <c r="A11">
        <v>27</v>
      </c>
      <c r="B11" t="s">
        <v>251</v>
      </c>
      <c r="D11" s="121">
        <v>3065</v>
      </c>
      <c r="E11" s="121">
        <v>318</v>
      </c>
      <c r="G11" s="124">
        <v>437601</v>
      </c>
      <c r="H11" s="115">
        <v>4847764</v>
      </c>
      <c r="I11" s="5">
        <v>61871530</v>
      </c>
      <c r="J11" s="5">
        <v>739024</v>
      </c>
      <c r="K11" s="5">
        <v>4721989</v>
      </c>
      <c r="L11" s="5">
        <v>274000</v>
      </c>
      <c r="M11" s="115"/>
      <c r="N11" s="115">
        <v>54559</v>
      </c>
      <c r="O11" s="5">
        <v>0</v>
      </c>
      <c r="P11" s="5"/>
      <c r="Q11" s="5">
        <f>Table2[[#This Row],[2024-25 BCTEA To/from Carryover]]+Table2[[#This Row],[2024-25 BCTEA EX Carryover - REMAINING AFTER REPURPOSING]]</f>
        <v>54559</v>
      </c>
      <c r="R11" s="5">
        <v>152304</v>
      </c>
      <c r="S11" s="5">
        <f>Table2[[#This Row],[2025-26 BCTEA Approved]]-Table2[[#This Row],[2024-25 BCTEA To/from Carryover]]</f>
        <v>97745</v>
      </c>
      <c r="T11" s="5">
        <v>41220</v>
      </c>
      <c r="U11" s="5">
        <v>37817</v>
      </c>
      <c r="V11" s="5">
        <f>Table2[[#This Row],[2024-25 CDS Payment]]-W11</f>
        <v>-3403</v>
      </c>
      <c r="W11" s="5">
        <f>Table2[[#This Row],[2025-26 EX Allocation]]-Table2[[#This Row],[2023-24 Carryover Extracurricular repurposed repurposed for Extracurricular]]</f>
        <v>41220</v>
      </c>
      <c r="X11" s="5">
        <f>SUM(Table2[[#This Row],[Part of 2024-25 CDS Payment that is To/From]:[Part of 2024-25 CDS Payment that is Extracurricular]])-Table2[[#This Row],[2024-25 CDS Payment]]</f>
        <v>0</v>
      </c>
      <c r="Y11" s="5">
        <v>102022</v>
      </c>
      <c r="Z11" s="5">
        <v>45910</v>
      </c>
      <c r="AA11" s="5"/>
      <c r="AB1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97332</v>
      </c>
      <c r="AC11" s="5">
        <v>0</v>
      </c>
      <c r="AD11" s="5">
        <f>ROUND(IF(Table2[[#This Row],[2025-26 BCTEA Approved]]-Table2[[#This Row],[2024-25 BCTEA To/from Carryover]]-Table2[[#This Row],[ex Repurposed to TO/FROM - FOR REF. DNU]]&gt;0,Table2[[#This Row],[2025-26 BCTEA Approved]]-Table2[[#This Row],[2024-25 BCTEA To/from Carryover]]-Table2[[#This Row],[ex Repurposed to TO/FROM - FOR REF. DNU]], "$0"),0)</f>
        <v>97745</v>
      </c>
      <c r="AE11" s="118">
        <v>308</v>
      </c>
      <c r="AF11" s="118">
        <v>169</v>
      </c>
      <c r="AG11" s="5">
        <v>1080</v>
      </c>
      <c r="AH11" s="5">
        <v>63</v>
      </c>
      <c r="AI11" s="5">
        <v>1312</v>
      </c>
      <c r="AJ11" s="5">
        <f>Table2[[#This Row],[2025-26 FN_SR]]*Table2[[#This Row],[Student Count as per 2022-23 Nominal Roll]]</f>
        <v>404096</v>
      </c>
    </row>
    <row r="12" spans="1:36" x14ac:dyDescent="0.3">
      <c r="A12">
        <v>28</v>
      </c>
      <c r="B12" t="s">
        <v>252</v>
      </c>
      <c r="D12" s="121">
        <v>2326</v>
      </c>
      <c r="E12" s="121">
        <v>70</v>
      </c>
      <c r="G12" s="124">
        <v>107100</v>
      </c>
      <c r="H12" s="115">
        <v>2092192</v>
      </c>
      <c r="I12" s="5">
        <v>41670685</v>
      </c>
      <c r="J12" s="5">
        <v>274209</v>
      </c>
      <c r="K12" s="5">
        <v>1724370</v>
      </c>
      <c r="L12" s="5">
        <v>303000</v>
      </c>
      <c r="M12" s="115"/>
      <c r="N12" s="115">
        <v>0</v>
      </c>
      <c r="O12" s="5">
        <v>0</v>
      </c>
      <c r="P12" s="5"/>
      <c r="Q12" s="5">
        <f>Table2[[#This Row],[2024-25 BCTEA To/from Carryover]]+Table2[[#This Row],[2024-25 BCTEA EX Carryover - REMAINING AFTER REPURPOSING]]</f>
        <v>0</v>
      </c>
      <c r="R12" s="5">
        <v>186632</v>
      </c>
      <c r="S12" s="5">
        <f>Table2[[#This Row],[2025-26 BCTEA Approved]]-Table2[[#This Row],[2024-25 BCTEA To/from Carryover]]</f>
        <v>186632</v>
      </c>
      <c r="T12" s="5">
        <v>12000</v>
      </c>
      <c r="U12" s="5">
        <v>144575</v>
      </c>
      <c r="V12" s="5">
        <f>Table2[[#This Row],[2024-25 CDS Payment]]-W12</f>
        <v>132575</v>
      </c>
      <c r="W12" s="5">
        <f>Table2[[#This Row],[2025-26 EX Allocation]]-Table2[[#This Row],[2023-24 Carryover Extracurricular repurposed repurposed for Extracurricular]]</f>
        <v>12000</v>
      </c>
      <c r="X12" s="5">
        <f>SUM(Table2[[#This Row],[Part of 2024-25 CDS Payment that is To/From]:[Part of 2024-25 CDS Payment that is Extracurricular]])-Table2[[#This Row],[2024-25 CDS Payment]]</f>
        <v>0</v>
      </c>
      <c r="Y12" s="5">
        <v>40683</v>
      </c>
      <c r="Z12" s="5">
        <v>22376</v>
      </c>
      <c r="AA12" s="5"/>
      <c r="AB1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30307</v>
      </c>
      <c r="AC12" s="5">
        <v>0</v>
      </c>
      <c r="AD12" s="5">
        <f>ROUND(IF(Table2[[#This Row],[2025-26 BCTEA Approved]]-Table2[[#This Row],[2024-25 BCTEA To/from Carryover]]-Table2[[#This Row],[ex Repurposed to TO/FROM - FOR REF. DNU]]&gt;0,Table2[[#This Row],[2025-26 BCTEA Approved]]-Table2[[#This Row],[2024-25 BCTEA To/from Carryover]]-Table2[[#This Row],[ex Repurposed to TO/FROM - FOR REF. DNU]], "$0"),0)</f>
        <v>186632</v>
      </c>
      <c r="AE12" s="118">
        <v>91</v>
      </c>
      <c r="AF12" s="118">
        <v>98</v>
      </c>
      <c r="AG12" s="5">
        <v>617</v>
      </c>
      <c r="AH12" s="5">
        <v>108</v>
      </c>
      <c r="AI12" s="5">
        <v>823</v>
      </c>
      <c r="AJ12" s="5">
        <f>Table2[[#This Row],[2025-26 FN_SR]]*Table2[[#This Row],[Student Count as per 2022-23 Nominal Roll]]</f>
        <v>74893</v>
      </c>
    </row>
    <row r="13" spans="1:36" x14ac:dyDescent="0.3">
      <c r="A13">
        <v>33</v>
      </c>
      <c r="B13" t="s">
        <v>253</v>
      </c>
      <c r="D13" s="121">
        <v>4370</v>
      </c>
      <c r="E13" s="121">
        <v>238</v>
      </c>
      <c r="G13" s="124">
        <v>311645</v>
      </c>
      <c r="H13" s="115">
        <v>5010448</v>
      </c>
      <c r="I13" s="5">
        <v>193271409</v>
      </c>
      <c r="J13" s="5">
        <v>329456</v>
      </c>
      <c r="K13" s="5">
        <v>2594336</v>
      </c>
      <c r="L13" s="5">
        <v>1124000</v>
      </c>
      <c r="M13" s="115"/>
      <c r="N13" s="115">
        <v>0</v>
      </c>
      <c r="O13" s="5">
        <v>10221</v>
      </c>
      <c r="P13" s="5"/>
      <c r="Q13" s="5">
        <f>Table2[[#This Row],[2024-25 BCTEA To/from Carryover]]+Table2[[#This Row],[2024-25 BCTEA EX Carryover - REMAINING AFTER REPURPOSING]]</f>
        <v>10221</v>
      </c>
      <c r="R13" s="5">
        <v>18179</v>
      </c>
      <c r="S13" s="5">
        <f>Table2[[#This Row],[2025-26 BCTEA Approved]]-Table2[[#This Row],[2024-25 BCTEA To/from Carryover]]</f>
        <v>18179</v>
      </c>
      <c r="T13" s="5">
        <v>2800</v>
      </c>
      <c r="U13" s="5">
        <v>0</v>
      </c>
      <c r="V13" s="5">
        <f>Table2[[#This Row],[2024-25 CDS Payment]]-W13</f>
        <v>-2800</v>
      </c>
      <c r="W13" s="5">
        <f>Table2[[#This Row],[2025-26 EX Allocation]]-Table2[[#This Row],[2023-24 Carryover Extracurricular repurposed repurposed for Extracurricular]]</f>
        <v>2800</v>
      </c>
      <c r="X13" s="5">
        <f>SUM(Table2[[#This Row],[Part of 2024-25 CDS Payment that is To/From]:[Part of 2024-25 CDS Payment that is Extracurricular]])-Table2[[#This Row],[2024-25 CDS Payment]]</f>
        <v>0</v>
      </c>
      <c r="Y13" s="5">
        <v>172790</v>
      </c>
      <c r="Z13" s="5">
        <v>66316</v>
      </c>
      <c r="AA13" s="5"/>
      <c r="AB1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109274</v>
      </c>
      <c r="AC13" s="5">
        <v>0</v>
      </c>
      <c r="AD13" s="5">
        <f>ROUND(IF(Table2[[#This Row],[2025-26 BCTEA Approved]]-Table2[[#This Row],[2024-25 BCTEA To/from Carryover]]-Table2[[#This Row],[ex Repurposed to TO/FROM - FOR REF. DNU]]&gt;0,Table2[[#This Row],[2025-26 BCTEA Approved]]-Table2[[#This Row],[2024-25 BCTEA To/from Carryover]]-Table2[[#This Row],[ex Repurposed to TO/FROM - FOR REF. DNU]], "$0"),0)</f>
        <v>18179</v>
      </c>
      <c r="AE13" s="118">
        <v>339</v>
      </c>
      <c r="AF13" s="118">
        <v>21</v>
      </c>
      <c r="AG13" s="5">
        <v>164</v>
      </c>
      <c r="AH13" s="5">
        <v>71</v>
      </c>
      <c r="AI13" s="5">
        <v>256</v>
      </c>
      <c r="AJ13" s="5">
        <f>Table2[[#This Row],[2025-26 FN_SR]]*Table2[[#This Row],[Student Count as per 2022-23 Nominal Roll]]</f>
        <v>86784</v>
      </c>
    </row>
    <row r="14" spans="1:36" x14ac:dyDescent="0.3">
      <c r="A14">
        <v>34</v>
      </c>
      <c r="B14" t="s">
        <v>254</v>
      </c>
      <c r="D14" s="121">
        <v>2857</v>
      </c>
      <c r="E14" s="121">
        <v>64</v>
      </c>
      <c r="G14" s="124">
        <v>24486</v>
      </c>
      <c r="H14" s="115">
        <v>4047375</v>
      </c>
      <c r="I14" s="5">
        <v>233737855</v>
      </c>
      <c r="J14" s="5">
        <v>313969</v>
      </c>
      <c r="K14" s="5">
        <v>1667474</v>
      </c>
      <c r="L14" s="5">
        <v>1200000</v>
      </c>
      <c r="M14" s="115"/>
      <c r="N14" s="115">
        <v>9341</v>
      </c>
      <c r="O14" s="5">
        <v>1353</v>
      </c>
      <c r="P14" s="5"/>
      <c r="Q14" s="5">
        <f>Table2[[#This Row],[2024-25 BCTEA To/from Carryover]]+Table2[[#This Row],[2024-25 BCTEA EX Carryover - REMAINING AFTER REPURPOSING]]</f>
        <v>10694</v>
      </c>
      <c r="R14" s="5">
        <v>10695</v>
      </c>
      <c r="S14" s="5">
        <f>Table2[[#This Row],[2025-26 BCTEA Approved]]-Table2[[#This Row],[2024-25 BCTEA To/from Carryover]]</f>
        <v>1354</v>
      </c>
      <c r="T14" s="5">
        <v>9981</v>
      </c>
      <c r="U14" s="5">
        <v>0</v>
      </c>
      <c r="V14" s="5">
        <f>Table2[[#This Row],[2024-25 CDS Payment]]-W14</f>
        <v>-9981</v>
      </c>
      <c r="W14" s="5">
        <f>Table2[[#This Row],[2025-26 EX Allocation]]-Table2[[#This Row],[2023-24 Carryover Extracurricular repurposed repurposed for Extracurricular]]</f>
        <v>9981</v>
      </c>
      <c r="X14" s="5">
        <f>SUM(Table2[[#This Row],[Part of 2024-25 CDS Payment that is To/From]:[Part of 2024-25 CDS Payment that is Extracurricular]])-Table2[[#This Row],[2024-25 CDS Payment]]</f>
        <v>0</v>
      </c>
      <c r="Y14" s="5">
        <v>10000</v>
      </c>
      <c r="Z14" s="5"/>
      <c r="AA14" s="5"/>
      <c r="AB1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19981</v>
      </c>
      <c r="AC14" s="5">
        <v>0</v>
      </c>
      <c r="AD14" s="5">
        <f>ROUND(IF(Table2[[#This Row],[2025-26 BCTEA Approved]]-Table2[[#This Row],[2024-25 BCTEA To/from Carryover]]-Table2[[#This Row],[ex Repurposed to TO/FROM - FOR REF. DNU]]&gt;0,Table2[[#This Row],[2025-26 BCTEA Approved]]-Table2[[#This Row],[2024-25 BCTEA To/from Carryover]]-Table2[[#This Row],[ex Repurposed to TO/FROM - FOR REF. DNU]], "$0"),0)</f>
        <v>1354</v>
      </c>
      <c r="AE14" s="118">
        <v>68</v>
      </c>
      <c r="AF14" s="118">
        <v>15</v>
      </c>
      <c r="AG14" s="5">
        <v>82</v>
      </c>
      <c r="AH14" s="5">
        <v>59</v>
      </c>
      <c r="AI14" s="5">
        <v>156</v>
      </c>
      <c r="AJ14" s="5">
        <f>Table2[[#This Row],[2025-26 FN_SR]]*Table2[[#This Row],[Student Count as per 2022-23 Nominal Roll]]</f>
        <v>10608</v>
      </c>
    </row>
    <row r="15" spans="1:36" x14ac:dyDescent="0.3">
      <c r="A15">
        <v>35</v>
      </c>
      <c r="B15" t="s">
        <v>255</v>
      </c>
      <c r="D15" s="121">
        <v>1197</v>
      </c>
      <c r="E15" s="121">
        <v>28</v>
      </c>
      <c r="G15" s="124">
        <v>20758</v>
      </c>
      <c r="H15" s="115">
        <v>2588464</v>
      </c>
      <c r="I15" s="5">
        <v>295227509</v>
      </c>
      <c r="J15" s="5">
        <v>260000</v>
      </c>
      <c r="K15" s="5">
        <v>2064252</v>
      </c>
      <c r="L15" s="5">
        <v>1686000</v>
      </c>
      <c r="M15" s="115"/>
      <c r="N15" s="115">
        <v>2637</v>
      </c>
      <c r="O15" s="5">
        <v>0</v>
      </c>
      <c r="P15" s="5"/>
      <c r="Q15" s="5">
        <f>Table2[[#This Row],[2024-25 BCTEA To/from Carryover]]+Table2[[#This Row],[2024-25 BCTEA EX Carryover - REMAINING AFTER REPURPOSING]]</f>
        <v>2637</v>
      </c>
      <c r="R15" s="5">
        <v>36846</v>
      </c>
      <c r="S15" s="5">
        <f>Table2[[#This Row],[2025-26 BCTEA Approved]]-Table2[[#This Row],[2024-25 BCTEA To/from Carryover]]</f>
        <v>34209</v>
      </c>
      <c r="T15" s="5">
        <v>0</v>
      </c>
      <c r="U15" s="5">
        <v>27071</v>
      </c>
      <c r="V15" s="5">
        <f>Table2[[#This Row],[2024-25 CDS Payment]]-W15</f>
        <v>27071</v>
      </c>
      <c r="W15" s="5">
        <f>Table2[[#This Row],[2025-26 EX Allocation]]-Table2[[#This Row],[2023-24 Carryover Extracurricular repurposed repurposed for Extracurricular]]</f>
        <v>0</v>
      </c>
      <c r="X15" s="5">
        <f>SUM(Table2[[#This Row],[Part of 2024-25 CDS Payment that is To/From]:[Part of 2024-25 CDS Payment that is Extracurricular]])-Table2[[#This Row],[2024-25 CDS Payment]]</f>
        <v>0</v>
      </c>
      <c r="Y15" s="5">
        <v>12911</v>
      </c>
      <c r="Z15" s="5">
        <v>7101</v>
      </c>
      <c r="AA15" s="5"/>
      <c r="AB1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5810</v>
      </c>
      <c r="AC15" s="5">
        <v>0</v>
      </c>
      <c r="AD15" s="5">
        <f>ROUND(IF(Table2[[#This Row],[2025-26 BCTEA Approved]]-Table2[[#This Row],[2024-25 BCTEA To/from Carryover]]-Table2[[#This Row],[ex Repurposed to TO/FROM - FOR REF. DNU]]&gt;0,Table2[[#This Row],[2025-26 BCTEA Approved]]-Table2[[#This Row],[2024-25 BCTEA To/from Carryover]]-Table2[[#This Row],[ex Repurposed to TO/FROM - FOR REF. DNU]], "$0"),0)</f>
        <v>34209</v>
      </c>
      <c r="AE15" s="118">
        <v>27</v>
      </c>
      <c r="AF15" s="118">
        <v>10</v>
      </c>
      <c r="AG15" s="5">
        <v>80</v>
      </c>
      <c r="AH15" s="5">
        <v>65</v>
      </c>
      <c r="AI15" s="5">
        <v>155</v>
      </c>
      <c r="AJ15" s="5">
        <f>Table2[[#This Row],[2025-26 FN_SR]]*Table2[[#This Row],[Student Count as per 2022-23 Nominal Roll]]</f>
        <v>4185</v>
      </c>
    </row>
    <row r="16" spans="1:36" x14ac:dyDescent="0.3">
      <c r="A16">
        <v>36</v>
      </c>
      <c r="B16" t="s">
        <v>256</v>
      </c>
      <c r="D16" s="121">
        <v>674</v>
      </c>
      <c r="E16" s="121">
        <v>11</v>
      </c>
      <c r="G16" s="124">
        <v>74665</v>
      </c>
      <c r="H16" s="115">
        <v>3968184</v>
      </c>
      <c r="I16" s="5">
        <v>910609383</v>
      </c>
      <c r="J16" s="5">
        <v>72999</v>
      </c>
      <c r="K16" s="5">
        <v>518935</v>
      </c>
      <c r="L16" s="5">
        <v>4940000</v>
      </c>
      <c r="M16" s="115"/>
      <c r="N16" s="115">
        <v>0</v>
      </c>
      <c r="O16" s="5">
        <v>0</v>
      </c>
      <c r="P16" s="5"/>
      <c r="Q16" s="5">
        <f>Table2[[#This Row],[2024-25 BCTEA To/from Carryover]]+Table2[[#This Row],[2024-25 BCTEA EX Carryover - REMAINING AFTER REPURPOSING]]</f>
        <v>0</v>
      </c>
      <c r="R16" s="5">
        <v>77292</v>
      </c>
      <c r="S16" s="5">
        <f>Table2[[#This Row],[2025-26 BCTEA Approved]]-Table2[[#This Row],[2024-25 BCTEA To/from Carryover]]</f>
        <v>77292</v>
      </c>
      <c r="T16" s="5">
        <v>0</v>
      </c>
      <c r="U16" s="5">
        <v>69447</v>
      </c>
      <c r="V16" s="5">
        <f>Table2[[#This Row],[2024-25 CDS Payment]]-W16</f>
        <v>69447</v>
      </c>
      <c r="W16" s="5">
        <f>Table2[[#This Row],[2025-26 EX Allocation]]-Table2[[#This Row],[2023-24 Carryover Extracurricular repurposed repurposed for Extracurricular]]</f>
        <v>0</v>
      </c>
      <c r="X16" s="5">
        <f>SUM(Table2[[#This Row],[Part of 2024-25 CDS Payment that is To/From]:[Part of 2024-25 CDS Payment that is Extracurricular]])-Table2[[#This Row],[2024-25 CDS Payment]]</f>
        <v>0</v>
      </c>
      <c r="Y16" s="5">
        <v>12342</v>
      </c>
      <c r="Z16" s="5">
        <v>8022</v>
      </c>
      <c r="AA16" s="5"/>
      <c r="AB1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4320</v>
      </c>
      <c r="AC16" s="5">
        <v>0</v>
      </c>
      <c r="AD16" s="5">
        <f>ROUND(IF(Table2[[#This Row],[2025-26 BCTEA Approved]]-Table2[[#This Row],[2024-25 BCTEA To/from Carryover]]-Table2[[#This Row],[ex Repurposed to TO/FROM - FOR REF. DNU]]&gt;0,Table2[[#This Row],[2025-26 BCTEA Approved]]-Table2[[#This Row],[2024-25 BCTEA To/from Carryover]]-Table2[[#This Row],[ex Repurposed to TO/FROM - FOR REF. DNU]], "$0"),0)</f>
        <v>77292</v>
      </c>
      <c r="AE16" s="118">
        <v>24</v>
      </c>
      <c r="AF16" s="118">
        <v>1</v>
      </c>
      <c r="AG16" s="5">
        <v>7</v>
      </c>
      <c r="AH16" s="5">
        <v>63</v>
      </c>
      <c r="AI16" s="5">
        <v>71</v>
      </c>
      <c r="AJ16" s="5">
        <f>Table2[[#This Row],[2025-26 FN_SR]]*Table2[[#This Row],[Student Count as per 2022-23 Nominal Roll]]</f>
        <v>1704</v>
      </c>
    </row>
    <row r="17" spans="1:36" x14ac:dyDescent="0.3">
      <c r="A17">
        <v>37</v>
      </c>
      <c r="B17" t="s">
        <v>257</v>
      </c>
      <c r="D17" s="122"/>
      <c r="E17" s="122"/>
      <c r="G17" s="124"/>
      <c r="H17" s="115">
        <v>1246878</v>
      </c>
      <c r="I17" s="5">
        <v>177038683</v>
      </c>
      <c r="J17" s="5">
        <v>41933</v>
      </c>
      <c r="K17" s="5">
        <v>266866</v>
      </c>
      <c r="L17" s="5">
        <v>966000</v>
      </c>
      <c r="M17" s="115"/>
      <c r="N17" s="115"/>
      <c r="O17" s="5"/>
      <c r="P17" s="5"/>
      <c r="Q17" s="5">
        <f>Table2[[#This Row],[2024-25 BCTEA To/from Carryover]]+Table2[[#This Row],[2024-25 BCTEA EX Carryover - REMAINING AFTER REPURPOSING]]</f>
        <v>0</v>
      </c>
      <c r="R17" s="5">
        <v>0</v>
      </c>
      <c r="S17" s="5">
        <f>Table2[[#This Row],[2025-26 BCTEA Approved]]-Table2[[#This Row],[2024-25 BCTEA To/from Carryover]]</f>
        <v>0</v>
      </c>
      <c r="T17" s="5">
        <v>0</v>
      </c>
      <c r="U17" s="5">
        <v>0</v>
      </c>
      <c r="V17" s="5">
        <f>Table2[[#This Row],[2024-25 CDS Payment]]-W17</f>
        <v>0</v>
      </c>
      <c r="W17" s="5">
        <f>Table2[[#This Row],[2025-26 EX Allocation]]-Table2[[#This Row],[2023-24 Carryover Extracurricular repurposed repurposed for Extracurricular]]</f>
        <v>0</v>
      </c>
      <c r="X17" s="5">
        <f>SUM(Table2[[#This Row],[Part of 2024-25 CDS Payment that is To/From]:[Part of 2024-25 CDS Payment that is Extracurricular]])-Table2[[#This Row],[2024-25 CDS Payment]]</f>
        <v>0</v>
      </c>
      <c r="Y17" s="5"/>
      <c r="Z17" s="5"/>
      <c r="AA17" s="5"/>
      <c r="AB1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17" s="5">
        <v>0</v>
      </c>
      <c r="AD17"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17" s="118"/>
      <c r="AF17" s="118">
        <v>3</v>
      </c>
      <c r="AG17" s="5">
        <v>17</v>
      </c>
      <c r="AH17" s="5">
        <v>62</v>
      </c>
      <c r="AI17" s="5">
        <v>82</v>
      </c>
      <c r="AJ17" s="5">
        <f>Table2[[#This Row],[2025-26 FN_SR]]*Table2[[#This Row],[Student Count as per 2022-23 Nominal Roll]]</f>
        <v>0</v>
      </c>
    </row>
    <row r="18" spans="1:36" x14ac:dyDescent="0.3">
      <c r="A18">
        <v>38</v>
      </c>
      <c r="B18" t="s">
        <v>258</v>
      </c>
      <c r="D18" s="122"/>
      <c r="E18" s="122"/>
      <c r="G18" s="124"/>
      <c r="H18" s="115">
        <v>1656461</v>
      </c>
      <c r="I18" s="5">
        <v>253285994</v>
      </c>
      <c r="J18" s="5">
        <v>21608</v>
      </c>
      <c r="K18" s="5">
        <v>148481</v>
      </c>
      <c r="L18" s="5">
        <v>1189000</v>
      </c>
      <c r="M18" s="115"/>
      <c r="N18" s="115"/>
      <c r="O18" s="5"/>
      <c r="P18" s="5"/>
      <c r="Q18" s="5">
        <f>Table2[[#This Row],[2024-25 BCTEA To/from Carryover]]+Table2[[#This Row],[2024-25 BCTEA EX Carryover - REMAINING AFTER REPURPOSING]]</f>
        <v>0</v>
      </c>
      <c r="R18" s="5">
        <v>0</v>
      </c>
      <c r="S18" s="5">
        <f>Table2[[#This Row],[2025-26 BCTEA Approved]]-Table2[[#This Row],[2024-25 BCTEA To/from Carryover]]</f>
        <v>0</v>
      </c>
      <c r="T18" s="5">
        <v>0</v>
      </c>
      <c r="U18" s="5">
        <v>0</v>
      </c>
      <c r="V18" s="5">
        <f>Table2[[#This Row],[2024-25 CDS Payment]]-W18</f>
        <v>0</v>
      </c>
      <c r="W18" s="5">
        <f>Table2[[#This Row],[2025-26 EX Allocation]]-Table2[[#This Row],[2023-24 Carryover Extracurricular repurposed repurposed for Extracurricular]]</f>
        <v>0</v>
      </c>
      <c r="X18" s="5">
        <f>SUM(Table2[[#This Row],[Part of 2024-25 CDS Payment that is To/From]:[Part of 2024-25 CDS Payment that is Extracurricular]])-Table2[[#This Row],[2024-25 CDS Payment]]</f>
        <v>0</v>
      </c>
      <c r="Y18" s="5"/>
      <c r="Z18" s="5">
        <v>0</v>
      </c>
      <c r="AA18" s="5"/>
      <c r="AB1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18" s="5">
        <v>0</v>
      </c>
      <c r="AD18"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18" s="118"/>
      <c r="AF18" s="118">
        <v>1</v>
      </c>
      <c r="AG18" s="5">
        <v>7</v>
      </c>
      <c r="AH18" s="5">
        <v>53</v>
      </c>
      <c r="AI18" s="5">
        <v>61</v>
      </c>
      <c r="AJ18" s="5">
        <f>Table2[[#This Row],[2025-26 FN_SR]]*Table2[[#This Row],[Student Count as per 2022-23 Nominal Roll]]</f>
        <v>0</v>
      </c>
    </row>
    <row r="19" spans="1:36" x14ac:dyDescent="0.3">
      <c r="A19">
        <v>39</v>
      </c>
      <c r="B19" t="s">
        <v>259</v>
      </c>
      <c r="D19" s="121">
        <v>272</v>
      </c>
      <c r="E19" s="121">
        <v>114</v>
      </c>
      <c r="G19" s="124">
        <v>43137</v>
      </c>
      <c r="H19" s="115">
        <v>4303641</v>
      </c>
      <c r="I19" s="5">
        <v>579734455</v>
      </c>
      <c r="J19" s="5">
        <v>53423</v>
      </c>
      <c r="K19" s="5">
        <v>333187</v>
      </c>
      <c r="L19" s="5">
        <v>3186000</v>
      </c>
      <c r="M19" s="115"/>
      <c r="N19" s="115">
        <v>0</v>
      </c>
      <c r="O19" s="5">
        <v>0</v>
      </c>
      <c r="P19" s="5"/>
      <c r="Q19" s="5">
        <f>Table2[[#This Row],[2024-25 BCTEA To/from Carryover]]+Table2[[#This Row],[2024-25 BCTEA EX Carryover - REMAINING AFTER REPURPOSING]]</f>
        <v>0</v>
      </c>
      <c r="R19" s="5">
        <v>147491</v>
      </c>
      <c r="S19" s="5">
        <f>Table2[[#This Row],[2025-26 BCTEA Approved]]-Table2[[#This Row],[2024-25 BCTEA To/from Carryover]]</f>
        <v>147491</v>
      </c>
      <c r="T19" s="5">
        <v>16144</v>
      </c>
      <c r="U19" s="5">
        <v>147491</v>
      </c>
      <c r="V19" s="5">
        <f>Table2[[#This Row],[2024-25 CDS Payment]]-W19</f>
        <v>131347</v>
      </c>
      <c r="W19" s="5">
        <f>Table2[[#This Row],[2025-26 EX Allocation]]-Table2[[#This Row],[2023-24 Carryover Extracurricular repurposed repurposed for Extracurricular]]</f>
        <v>16144</v>
      </c>
      <c r="X19" s="5">
        <f>SUM(Table2[[#This Row],[Part of 2024-25 CDS Payment that is To/From]:[Part of 2024-25 CDS Payment that is Extracurricular]])-Table2[[#This Row],[2024-25 CDS Payment]]</f>
        <v>0</v>
      </c>
      <c r="Y19" s="5">
        <v>0</v>
      </c>
      <c r="Z19" s="5"/>
      <c r="AA19" s="5"/>
      <c r="AB1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16144</v>
      </c>
      <c r="AC19" s="5">
        <v>0</v>
      </c>
      <c r="AD19" s="5">
        <f>ROUND(IF(Table2[[#This Row],[2025-26 BCTEA Approved]]-Table2[[#This Row],[2024-25 BCTEA To/from Carryover]]-Table2[[#This Row],[ex Repurposed to TO/FROM - FOR REF. DNU]]&gt;0,Table2[[#This Row],[2025-26 BCTEA Approved]]-Table2[[#This Row],[2024-25 BCTEA To/from Carryover]]-Table2[[#This Row],[ex Repurposed to TO/FROM - FOR REF. DNU]], "$0"),0)</f>
        <v>147491</v>
      </c>
      <c r="AE19" s="118">
        <v>110</v>
      </c>
      <c r="AF19" s="118">
        <v>1</v>
      </c>
      <c r="AG19" s="5">
        <v>7</v>
      </c>
      <c r="AH19" s="5">
        <v>63</v>
      </c>
      <c r="AI19" s="5">
        <v>71</v>
      </c>
      <c r="AJ19" s="5">
        <f>Table2[[#This Row],[2025-26 FN_SR]]*Table2[[#This Row],[Student Count as per 2022-23 Nominal Roll]]</f>
        <v>7810</v>
      </c>
    </row>
    <row r="20" spans="1:36" x14ac:dyDescent="0.3">
      <c r="A20">
        <v>40</v>
      </c>
      <c r="B20" t="s">
        <v>260</v>
      </c>
      <c r="D20" s="122"/>
      <c r="E20" s="122"/>
      <c r="G20" s="124"/>
      <c r="H20" s="115">
        <v>422938</v>
      </c>
      <c r="I20" s="5">
        <v>90762971</v>
      </c>
      <c r="J20" s="5">
        <v>6073</v>
      </c>
      <c r="K20" s="5">
        <v>49555</v>
      </c>
      <c r="L20" s="5">
        <v>469000</v>
      </c>
      <c r="M20" s="115"/>
      <c r="N20" s="115"/>
      <c r="O20" s="5">
        <v>0</v>
      </c>
      <c r="P20" s="5"/>
      <c r="Q20" s="5">
        <f>Table2[[#This Row],[2024-25 BCTEA To/from Carryover]]+Table2[[#This Row],[2024-25 BCTEA EX Carryover - REMAINING AFTER REPURPOSING]]</f>
        <v>0</v>
      </c>
      <c r="R20" s="5">
        <v>0</v>
      </c>
      <c r="S20" s="5">
        <f>Table2[[#This Row],[2025-26 BCTEA Approved]]-Table2[[#This Row],[2024-25 BCTEA To/from Carryover]]</f>
        <v>0</v>
      </c>
      <c r="T20" s="5">
        <v>0</v>
      </c>
      <c r="U20" s="5">
        <v>0</v>
      </c>
      <c r="V20" s="5">
        <f>Table2[[#This Row],[2024-25 CDS Payment]]-W20</f>
        <v>0</v>
      </c>
      <c r="W20" s="5">
        <f>Table2[[#This Row],[2025-26 EX Allocation]]-Table2[[#This Row],[2023-24 Carryover Extracurricular repurposed repurposed for Extracurricular]]</f>
        <v>0</v>
      </c>
      <c r="X20" s="5">
        <f>SUM(Table2[[#This Row],[Part of 2024-25 CDS Payment that is To/From]:[Part of 2024-25 CDS Payment that is Extracurricular]])-Table2[[#This Row],[2024-25 CDS Payment]]</f>
        <v>0</v>
      </c>
      <c r="Y20" s="5"/>
      <c r="Z20" s="5">
        <v>0</v>
      </c>
      <c r="AA20" s="5"/>
      <c r="AB2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20" s="5">
        <v>0</v>
      </c>
      <c r="AD20"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20" s="118"/>
      <c r="AF20" s="118">
        <v>1</v>
      </c>
      <c r="AG20" s="5">
        <v>6</v>
      </c>
      <c r="AH20" s="5">
        <v>60</v>
      </c>
      <c r="AI20" s="5">
        <v>67</v>
      </c>
      <c r="AJ20" s="5">
        <f>Table2[[#This Row],[2025-26 FN_SR]]*Table2[[#This Row],[Student Count as per 2022-23 Nominal Roll]]</f>
        <v>0</v>
      </c>
    </row>
    <row r="21" spans="1:36" x14ac:dyDescent="0.3">
      <c r="A21">
        <v>41</v>
      </c>
      <c r="B21" t="s">
        <v>261</v>
      </c>
      <c r="D21" s="122"/>
      <c r="E21" s="122"/>
      <c r="G21" s="124"/>
      <c r="H21" s="115">
        <v>1136339</v>
      </c>
      <c r="I21" s="5">
        <v>309262519</v>
      </c>
      <c r="J21" s="5">
        <v>24841</v>
      </c>
      <c r="K21" s="5">
        <v>178947</v>
      </c>
      <c r="L21" s="5">
        <v>1605000</v>
      </c>
      <c r="M21" s="115"/>
      <c r="N21" s="115"/>
      <c r="O21" s="5">
        <v>0</v>
      </c>
      <c r="P21" s="5"/>
      <c r="Q21" s="5">
        <f>Table2[[#This Row],[2024-25 BCTEA To/from Carryover]]+Table2[[#This Row],[2024-25 BCTEA EX Carryover - REMAINING AFTER REPURPOSING]]</f>
        <v>0</v>
      </c>
      <c r="R21" s="5">
        <v>0</v>
      </c>
      <c r="S21" s="5">
        <f>Table2[[#This Row],[2025-26 BCTEA Approved]]-Table2[[#This Row],[2024-25 BCTEA To/from Carryover]]</f>
        <v>0</v>
      </c>
      <c r="T21" s="5">
        <v>0</v>
      </c>
      <c r="U21" s="5">
        <v>0</v>
      </c>
      <c r="V21" s="5">
        <f>Table2[[#This Row],[2024-25 CDS Payment]]-W21</f>
        <v>0</v>
      </c>
      <c r="W21" s="5">
        <f>Table2[[#This Row],[2025-26 EX Allocation]]-Table2[[#This Row],[2023-24 Carryover Extracurricular repurposed repurposed for Extracurricular]]</f>
        <v>0</v>
      </c>
      <c r="X21" s="5">
        <f>SUM(Table2[[#This Row],[Part of 2024-25 CDS Payment that is To/From]:[Part of 2024-25 CDS Payment that is Extracurricular]])-Table2[[#This Row],[2024-25 CDS Payment]]</f>
        <v>0</v>
      </c>
      <c r="Y21" s="5"/>
      <c r="Z21" s="5"/>
      <c r="AA21" s="5"/>
      <c r="AB2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21" s="5">
        <v>0</v>
      </c>
      <c r="AD21"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21" s="118">
        <v>1</v>
      </c>
      <c r="AF21" s="118">
        <v>1</v>
      </c>
      <c r="AG21" s="5">
        <v>7</v>
      </c>
      <c r="AH21" s="5">
        <v>59</v>
      </c>
      <c r="AI21" s="5">
        <v>67</v>
      </c>
      <c r="AJ21" s="5">
        <f>Table2[[#This Row],[2025-26 FN_SR]]*Table2[[#This Row],[Student Count as per 2022-23 Nominal Roll]]</f>
        <v>67</v>
      </c>
    </row>
    <row r="22" spans="1:36" x14ac:dyDescent="0.3">
      <c r="A22">
        <v>42</v>
      </c>
      <c r="B22" t="s">
        <v>262</v>
      </c>
      <c r="D22" s="121">
        <v>226</v>
      </c>
      <c r="E22" s="121">
        <v>37</v>
      </c>
      <c r="G22" s="124">
        <v>7155</v>
      </c>
      <c r="H22" s="115">
        <v>706312</v>
      </c>
      <c r="I22" s="5">
        <v>196991780</v>
      </c>
      <c r="J22" s="5">
        <v>185990</v>
      </c>
      <c r="K22" s="5">
        <v>1334858</v>
      </c>
      <c r="L22" s="5">
        <v>1244000</v>
      </c>
      <c r="M22" s="115"/>
      <c r="N22" s="115">
        <v>0</v>
      </c>
      <c r="O22" s="5">
        <v>0</v>
      </c>
      <c r="P22" s="5"/>
      <c r="Q22" s="5">
        <f>Table2[[#This Row],[2024-25 BCTEA To/from Carryover]]+Table2[[#This Row],[2024-25 BCTEA EX Carryover - REMAINING AFTER REPURPOSING]]</f>
        <v>0</v>
      </c>
      <c r="R22" s="5">
        <v>158850</v>
      </c>
      <c r="S22" s="5">
        <f>Table2[[#This Row],[2025-26 BCTEA Approved]]-Table2[[#This Row],[2024-25 BCTEA To/from Carryover]]</f>
        <v>158850</v>
      </c>
      <c r="T22" s="5">
        <v>6606</v>
      </c>
      <c r="U22" s="5">
        <v>158850</v>
      </c>
      <c r="V22" s="5">
        <f>Table2[[#This Row],[2024-25 CDS Payment]]-W22</f>
        <v>152244</v>
      </c>
      <c r="W22" s="5">
        <f>Table2[[#This Row],[2025-26 EX Allocation]]-Table2[[#This Row],[2023-24 Carryover Extracurricular repurposed repurposed for Extracurricular]]</f>
        <v>6606</v>
      </c>
      <c r="X22" s="5">
        <f>SUM(Table2[[#This Row],[Part of 2024-25 CDS Payment that is To/From]:[Part of 2024-25 CDS Payment that is Extracurricular]])-Table2[[#This Row],[2024-25 CDS Payment]]</f>
        <v>0</v>
      </c>
      <c r="Y22" s="5">
        <v>25543</v>
      </c>
      <c r="Z22" s="5">
        <v>16603</v>
      </c>
      <c r="AA22" s="5"/>
      <c r="AB2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15546</v>
      </c>
      <c r="AC22" s="5">
        <v>0</v>
      </c>
      <c r="AD22" s="5">
        <f>ROUND(IF(Table2[[#This Row],[2025-26 BCTEA Approved]]-Table2[[#This Row],[2024-25 BCTEA To/from Carryover]]-Table2[[#This Row],[ex Repurposed to TO/FROM - FOR REF. DNU]]&gt;0,Table2[[#This Row],[2025-26 BCTEA Approved]]-Table2[[#This Row],[2024-25 BCTEA To/from Carryover]]-Table2[[#This Row],[ex Repurposed to TO/FROM - FOR REF. DNU]], "$0"),0)</f>
        <v>158850</v>
      </c>
      <c r="AE22" s="118">
        <v>45</v>
      </c>
      <c r="AF22" s="118">
        <v>11</v>
      </c>
      <c r="AG22" s="5">
        <v>82</v>
      </c>
      <c r="AH22" s="5">
        <v>76</v>
      </c>
      <c r="AI22" s="5">
        <v>169</v>
      </c>
      <c r="AJ22" s="5">
        <f>Table2[[#This Row],[2025-26 FN_SR]]*Table2[[#This Row],[Student Count as per 2022-23 Nominal Roll]]</f>
        <v>7605</v>
      </c>
    </row>
    <row r="23" spans="1:36" x14ac:dyDescent="0.3">
      <c r="A23">
        <v>43</v>
      </c>
      <c r="B23" t="s">
        <v>263</v>
      </c>
      <c r="D23" s="121">
        <v>142</v>
      </c>
      <c r="E23" s="121">
        <v>17</v>
      </c>
      <c r="G23" s="124">
        <v>1449</v>
      </c>
      <c r="H23" s="115">
        <v>543335</v>
      </c>
      <c r="I23" s="5">
        <v>369195620</v>
      </c>
      <c r="J23" s="5">
        <v>81641</v>
      </c>
      <c r="K23" s="5">
        <v>546528</v>
      </c>
      <c r="L23" s="5">
        <v>1766000</v>
      </c>
      <c r="M23" s="115"/>
      <c r="N23" s="115">
        <v>0</v>
      </c>
      <c r="O23" s="5">
        <v>0</v>
      </c>
      <c r="P23" s="5"/>
      <c r="Q23" s="5">
        <f>Table2[[#This Row],[2024-25 BCTEA To/from Carryover]]+Table2[[#This Row],[2024-25 BCTEA EX Carryover - REMAINING AFTER REPURPOSING]]</f>
        <v>0</v>
      </c>
      <c r="R23" s="5">
        <v>109887</v>
      </c>
      <c r="S23" s="5">
        <f>Table2[[#This Row],[2025-26 BCTEA Approved]]-Table2[[#This Row],[2024-25 BCTEA To/from Carryover]]</f>
        <v>109887</v>
      </c>
      <c r="T23" s="5">
        <v>0</v>
      </c>
      <c r="U23" s="5">
        <v>108679</v>
      </c>
      <c r="V23" s="5">
        <f>Table2[[#This Row],[2024-25 CDS Payment]]-W23</f>
        <v>108679</v>
      </c>
      <c r="W23" s="5">
        <f>Table2[[#This Row],[2025-26 EX Allocation]]-Table2[[#This Row],[2023-24 Carryover Extracurricular repurposed repurposed for Extracurricular]]</f>
        <v>0</v>
      </c>
      <c r="X23" s="5">
        <f>SUM(Table2[[#This Row],[Part of 2024-25 CDS Payment that is To/From]:[Part of 2024-25 CDS Payment that is Extracurricular]])-Table2[[#This Row],[2024-25 CDS Payment]]</f>
        <v>0</v>
      </c>
      <c r="Y23" s="5">
        <v>2259</v>
      </c>
      <c r="Z23" s="5"/>
      <c r="AA23" s="5"/>
      <c r="AB2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2259</v>
      </c>
      <c r="AC23" s="5">
        <v>0</v>
      </c>
      <c r="AD23" s="5">
        <f>ROUND(IF(Table2[[#This Row],[2025-26 BCTEA Approved]]-Table2[[#This Row],[2024-25 BCTEA To/from Carryover]]-Table2[[#This Row],[ex Repurposed to TO/FROM - FOR REF. DNU]]&gt;0,Table2[[#This Row],[2025-26 BCTEA Approved]]-Table2[[#This Row],[2024-25 BCTEA To/from Carryover]]-Table2[[#This Row],[ex Repurposed to TO/FROM - FOR REF. DNU]], "$0"),0)</f>
        <v>109887</v>
      </c>
      <c r="AE23" s="118">
        <v>21</v>
      </c>
      <c r="AF23" s="118">
        <v>2</v>
      </c>
      <c r="AG23" s="5">
        <v>17</v>
      </c>
      <c r="AH23" s="5">
        <v>54</v>
      </c>
      <c r="AI23" s="5">
        <v>73</v>
      </c>
      <c r="AJ23" s="5">
        <f>Table2[[#This Row],[2025-26 FN_SR]]*Table2[[#This Row],[Student Count as per 2022-23 Nominal Roll]]</f>
        <v>1533</v>
      </c>
    </row>
    <row r="24" spans="1:36" x14ac:dyDescent="0.3">
      <c r="A24">
        <v>44</v>
      </c>
      <c r="B24" t="s">
        <v>264</v>
      </c>
      <c r="D24" s="121">
        <v>228</v>
      </c>
      <c r="E24" s="121">
        <v>228</v>
      </c>
      <c r="G24" s="124">
        <v>418981</v>
      </c>
      <c r="H24" s="115">
        <v>499677</v>
      </c>
      <c r="I24" s="5">
        <v>184139032</v>
      </c>
      <c r="J24" s="5">
        <v>40566</v>
      </c>
      <c r="K24" s="5">
        <v>269783</v>
      </c>
      <c r="L24" s="5">
        <v>861000</v>
      </c>
      <c r="M24" s="115"/>
      <c r="N24" s="115">
        <v>55180</v>
      </c>
      <c r="O24" s="5">
        <v>0</v>
      </c>
      <c r="P24" s="5"/>
      <c r="Q24" s="5">
        <f>Table2[[#This Row],[2024-25 BCTEA To/from Carryover]]+Table2[[#This Row],[2024-25 BCTEA EX Carryover - REMAINING AFTER REPURPOSING]]</f>
        <v>55180</v>
      </c>
      <c r="R24" s="5">
        <v>189035</v>
      </c>
      <c r="S24" s="5">
        <f>Table2[[#This Row],[2025-26 BCTEA Approved]]-Table2[[#This Row],[2024-25 BCTEA To/from Carryover]]</f>
        <v>133855</v>
      </c>
      <c r="T24" s="5">
        <v>0</v>
      </c>
      <c r="U24" s="5">
        <v>129530</v>
      </c>
      <c r="V24" s="5">
        <f>Table2[[#This Row],[2024-25 CDS Payment]]-W24</f>
        <v>129530</v>
      </c>
      <c r="W24" s="5">
        <f>Table2[[#This Row],[2025-26 EX Allocation]]-Table2[[#This Row],[2023-24 Carryover Extracurricular repurposed repurposed for Extracurricular]]</f>
        <v>0</v>
      </c>
      <c r="X24" s="5">
        <f>SUM(Table2[[#This Row],[Part of 2024-25 CDS Payment that is To/From]:[Part of 2024-25 CDS Payment that is Extracurricular]])-Table2[[#This Row],[2024-25 CDS Payment]]</f>
        <v>0</v>
      </c>
      <c r="Y24" s="5">
        <v>64699</v>
      </c>
      <c r="Z24" s="5">
        <v>29115</v>
      </c>
      <c r="AA24" s="5"/>
      <c r="AB2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35584</v>
      </c>
      <c r="AC24" s="5">
        <v>0</v>
      </c>
      <c r="AD24" s="5">
        <f>ROUND(IF(Table2[[#This Row],[2025-26 BCTEA Approved]]-Table2[[#This Row],[2024-25 BCTEA To/from Carryover]]-Table2[[#This Row],[ex Repurposed to TO/FROM - FOR REF. DNU]]&gt;0,Table2[[#This Row],[2025-26 BCTEA Approved]]-Table2[[#This Row],[2024-25 BCTEA To/from Carryover]]-Table2[[#This Row],[ex Repurposed to TO/FROM - FOR REF. DNU]], "$0"),0)</f>
        <v>133855</v>
      </c>
      <c r="AE24" s="118">
        <v>163</v>
      </c>
      <c r="AF24" s="118">
        <v>2</v>
      </c>
      <c r="AG24" s="5">
        <v>16</v>
      </c>
      <c r="AH24" s="5">
        <v>52</v>
      </c>
      <c r="AI24" s="5">
        <v>70</v>
      </c>
      <c r="AJ24" s="5">
        <f>Table2[[#This Row],[2025-26 FN_SR]]*Table2[[#This Row],[Student Count as per 2022-23 Nominal Roll]]</f>
        <v>11410</v>
      </c>
    </row>
    <row r="25" spans="1:36" x14ac:dyDescent="0.3">
      <c r="A25">
        <v>45</v>
      </c>
      <c r="B25" t="s">
        <v>265</v>
      </c>
      <c r="D25" s="121">
        <v>450</v>
      </c>
      <c r="E25" s="121">
        <v>21</v>
      </c>
      <c r="G25" s="124">
        <v>6048</v>
      </c>
      <c r="H25" s="115">
        <v>580361</v>
      </c>
      <c r="I25" s="5">
        <v>78420902</v>
      </c>
      <c r="J25" s="5">
        <v>84722</v>
      </c>
      <c r="K25" s="5">
        <v>430214</v>
      </c>
      <c r="L25" s="5">
        <v>293000</v>
      </c>
      <c r="M25" s="115"/>
      <c r="N25" s="115">
        <v>4086</v>
      </c>
      <c r="O25" s="5">
        <v>0</v>
      </c>
      <c r="P25" s="5"/>
      <c r="Q25" s="5">
        <f>Table2[[#This Row],[2024-25 BCTEA To/from Carryover]]+Table2[[#This Row],[2024-25 BCTEA EX Carryover - REMAINING AFTER REPURPOSING]]</f>
        <v>4086</v>
      </c>
      <c r="R25" s="5">
        <v>8493</v>
      </c>
      <c r="S25" s="5">
        <f>Table2[[#This Row],[2025-26 BCTEA Approved]]-Table2[[#This Row],[2024-25 BCTEA To/from Carryover]]</f>
        <v>4407</v>
      </c>
      <c r="T25" s="5">
        <v>1750</v>
      </c>
      <c r="U25" s="5">
        <v>2988</v>
      </c>
      <c r="V25" s="5">
        <f>Table2[[#This Row],[2024-25 CDS Payment]]-W25</f>
        <v>1238</v>
      </c>
      <c r="W25" s="5">
        <f>Table2[[#This Row],[2025-26 EX Allocation]]-Table2[[#This Row],[2023-24 Carryover Extracurricular repurposed repurposed for Extracurricular]]</f>
        <v>1750</v>
      </c>
      <c r="X25" s="5">
        <f>SUM(Table2[[#This Row],[Part of 2024-25 CDS Payment that is To/From]:[Part of 2024-25 CDS Payment that is Extracurricular]])-Table2[[#This Row],[2024-25 CDS Payment]]</f>
        <v>0</v>
      </c>
      <c r="Y25" s="5">
        <v>3797</v>
      </c>
      <c r="Z25" s="5"/>
      <c r="AA25" s="5"/>
      <c r="AB2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5547</v>
      </c>
      <c r="AC25" s="5">
        <v>0</v>
      </c>
      <c r="AD25" s="5">
        <f>ROUND(IF(Table2[[#This Row],[2025-26 BCTEA Approved]]-Table2[[#This Row],[2024-25 BCTEA To/from Carryover]]-Table2[[#This Row],[ex Repurposed to TO/FROM - FOR REF. DNU]]&gt;0,Table2[[#This Row],[2025-26 BCTEA Approved]]-Table2[[#This Row],[2024-25 BCTEA To/from Carryover]]-Table2[[#This Row],[ex Repurposed to TO/FROM - FOR REF. DNU]], "$0"),0)</f>
        <v>4407</v>
      </c>
      <c r="AE25" s="118">
        <v>20</v>
      </c>
      <c r="AF25" s="118">
        <v>12</v>
      </c>
      <c r="AG25" s="5">
        <v>61</v>
      </c>
      <c r="AH25" s="5">
        <v>42</v>
      </c>
      <c r="AI25" s="5">
        <v>115</v>
      </c>
      <c r="AJ25" s="5">
        <f>Table2[[#This Row],[2025-26 FN_SR]]*Table2[[#This Row],[Student Count as per 2022-23 Nominal Roll]]</f>
        <v>2300</v>
      </c>
    </row>
    <row r="26" spans="1:36" x14ac:dyDescent="0.3">
      <c r="A26">
        <v>46</v>
      </c>
      <c r="B26" t="s">
        <v>266</v>
      </c>
      <c r="D26" s="122"/>
      <c r="E26" s="122"/>
      <c r="G26" s="124"/>
      <c r="H26" s="115">
        <v>1790592</v>
      </c>
      <c r="I26" s="5">
        <v>51788253</v>
      </c>
      <c r="J26" s="5">
        <v>380465</v>
      </c>
      <c r="K26" s="5">
        <v>3293876</v>
      </c>
      <c r="L26" s="5">
        <v>311000</v>
      </c>
      <c r="M26" s="115"/>
      <c r="N26" s="115"/>
      <c r="O26" s="5"/>
      <c r="P26" s="5"/>
      <c r="Q26" s="5">
        <f>Table2[[#This Row],[2024-25 BCTEA To/from Carryover]]+Table2[[#This Row],[2024-25 BCTEA EX Carryover - REMAINING AFTER REPURPOSING]]</f>
        <v>0</v>
      </c>
      <c r="R26" s="5">
        <v>0</v>
      </c>
      <c r="S26" s="5">
        <f>Table2[[#This Row],[2025-26 BCTEA Approved]]-Table2[[#This Row],[2024-25 BCTEA To/from Carryover]]</f>
        <v>0</v>
      </c>
      <c r="T26" s="5">
        <v>0</v>
      </c>
      <c r="U26" s="5">
        <v>0</v>
      </c>
      <c r="V26" s="5">
        <f>Table2[[#This Row],[2024-25 CDS Payment]]-W26</f>
        <v>0</v>
      </c>
      <c r="W26" s="5">
        <f>Table2[[#This Row],[2025-26 EX Allocation]]-Table2[[#This Row],[2023-24 Carryover Extracurricular repurposed repurposed for Extracurricular]]</f>
        <v>0</v>
      </c>
      <c r="X26" s="5">
        <f>SUM(Table2[[#This Row],[Part of 2024-25 CDS Payment that is To/From]:[Part of 2024-25 CDS Payment that is Extracurricular]])-Table2[[#This Row],[2024-25 CDS Payment]]</f>
        <v>0</v>
      </c>
      <c r="Y26" s="5"/>
      <c r="Z26" s="5">
        <v>0</v>
      </c>
      <c r="AA26" s="5"/>
      <c r="AB2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26" s="5">
        <v>0</v>
      </c>
      <c r="AD26"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26" s="118"/>
      <c r="AF26" s="118">
        <v>110</v>
      </c>
      <c r="AG26" s="5">
        <v>955</v>
      </c>
      <c r="AH26" s="5">
        <v>90</v>
      </c>
      <c r="AI26" s="5">
        <v>1155</v>
      </c>
      <c r="AJ26" s="5">
        <f>Table2[[#This Row],[2025-26 FN_SR]]*Table2[[#This Row],[Student Count as per 2022-23 Nominal Roll]]</f>
        <v>0</v>
      </c>
    </row>
    <row r="27" spans="1:36" x14ac:dyDescent="0.3">
      <c r="A27">
        <v>47</v>
      </c>
      <c r="B27" t="s">
        <v>267</v>
      </c>
      <c r="D27" s="122"/>
      <c r="E27" s="122"/>
      <c r="G27" s="124"/>
      <c r="H27" s="115">
        <v>1164288</v>
      </c>
      <c r="I27" s="5">
        <v>42535992</v>
      </c>
      <c r="J27" s="5">
        <v>91754</v>
      </c>
      <c r="K27" s="5">
        <v>965721</v>
      </c>
      <c r="L27" s="5">
        <v>398000</v>
      </c>
      <c r="M27" s="115"/>
      <c r="N27" s="115"/>
      <c r="O27" s="5"/>
      <c r="P27" s="5"/>
      <c r="Q27" s="5">
        <f>Table2[[#This Row],[2024-25 BCTEA To/from Carryover]]+Table2[[#This Row],[2024-25 BCTEA EX Carryover - REMAINING AFTER REPURPOSING]]</f>
        <v>0</v>
      </c>
      <c r="R27" s="5">
        <v>0</v>
      </c>
      <c r="S27" s="5">
        <f>Table2[[#This Row],[2025-26 BCTEA Approved]]-Table2[[#This Row],[2024-25 BCTEA To/from Carryover]]</f>
        <v>0</v>
      </c>
      <c r="T27" s="5">
        <v>0</v>
      </c>
      <c r="U27" s="5">
        <v>0</v>
      </c>
      <c r="V27" s="5">
        <f>Table2[[#This Row],[2024-25 CDS Payment]]-W27</f>
        <v>0</v>
      </c>
      <c r="W27" s="5">
        <f>Table2[[#This Row],[2025-26 EX Allocation]]-Table2[[#This Row],[2023-24 Carryover Extracurricular repurposed repurposed for Extracurricular]]</f>
        <v>0</v>
      </c>
      <c r="X27" s="5">
        <f>SUM(Table2[[#This Row],[Part of 2024-25 CDS Payment that is To/From]:[Part of 2024-25 CDS Payment that is Extracurricular]])-Table2[[#This Row],[2024-25 CDS Payment]]</f>
        <v>0</v>
      </c>
      <c r="Y27" s="5"/>
      <c r="Z27" s="5"/>
      <c r="AA27" s="5"/>
      <c r="AB2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27" s="5">
        <v>0</v>
      </c>
      <c r="AD27"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27" s="118"/>
      <c r="AF27" s="118">
        <v>30</v>
      </c>
      <c r="AG27" s="5">
        <v>319</v>
      </c>
      <c r="AH27" s="5">
        <v>131</v>
      </c>
      <c r="AI27" s="5">
        <v>480</v>
      </c>
      <c r="AJ27" s="5">
        <f>Table2[[#This Row],[2025-26 FN_SR]]*Table2[[#This Row],[Student Count as per 2022-23 Nominal Roll]]</f>
        <v>0</v>
      </c>
    </row>
    <row r="28" spans="1:36" x14ac:dyDescent="0.3">
      <c r="A28">
        <v>48</v>
      </c>
      <c r="B28" t="s">
        <v>268</v>
      </c>
      <c r="D28" s="121">
        <v>2343</v>
      </c>
      <c r="E28" s="121">
        <v>213</v>
      </c>
      <c r="G28" s="124">
        <v>296180</v>
      </c>
      <c r="H28" s="115">
        <v>1219533</v>
      </c>
      <c r="I28" s="5">
        <v>67265237</v>
      </c>
      <c r="J28" s="5">
        <v>265534</v>
      </c>
      <c r="K28" s="5">
        <v>1931787</v>
      </c>
      <c r="L28" s="5">
        <v>273000</v>
      </c>
      <c r="M28" s="115"/>
      <c r="N28" s="115">
        <v>0</v>
      </c>
      <c r="O28" s="5">
        <v>0</v>
      </c>
      <c r="P28" s="5"/>
      <c r="Q28" s="5">
        <f>Table2[[#This Row],[2024-25 BCTEA To/from Carryover]]+Table2[[#This Row],[2024-25 BCTEA EX Carryover - REMAINING AFTER REPURPOSING]]</f>
        <v>0</v>
      </c>
      <c r="R28" s="5">
        <v>314684</v>
      </c>
      <c r="S28" s="5">
        <f>Table2[[#This Row],[2025-26 BCTEA Approved]]-Table2[[#This Row],[2024-25 BCTEA To/from Carryover]]</f>
        <v>314684</v>
      </c>
      <c r="T28" s="5">
        <v>30817</v>
      </c>
      <c r="U28" s="5">
        <v>314684</v>
      </c>
      <c r="V28" s="5">
        <f>Table2[[#This Row],[2024-25 CDS Payment]]-W28</f>
        <v>283867</v>
      </c>
      <c r="W28" s="5">
        <f>Table2[[#This Row],[2025-26 EX Allocation]]-Table2[[#This Row],[2023-24 Carryover Extracurricular repurposed repurposed for Extracurricular]]</f>
        <v>30817</v>
      </c>
      <c r="X28" s="5">
        <f>SUM(Table2[[#This Row],[Part of 2024-25 CDS Payment that is To/From]:[Part of 2024-25 CDS Payment that is Extracurricular]])-Table2[[#This Row],[2024-25 CDS Payment]]</f>
        <v>0</v>
      </c>
      <c r="Y28" s="5">
        <v>0</v>
      </c>
      <c r="Z28" s="5">
        <v>0</v>
      </c>
      <c r="AA28" s="5"/>
      <c r="AB2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30817</v>
      </c>
      <c r="AC28" s="5">
        <v>0</v>
      </c>
      <c r="AD28" s="5">
        <f>ROUND(IF(Table2[[#This Row],[2025-26 BCTEA Approved]]-Table2[[#This Row],[2024-25 BCTEA To/from Carryover]]-Table2[[#This Row],[ex Repurposed to TO/FROM - FOR REF. DNU]]&gt;0,Table2[[#This Row],[2025-26 BCTEA Approved]]-Table2[[#This Row],[2024-25 BCTEA To/from Carryover]]-Table2[[#This Row],[ex Repurposed to TO/FROM - FOR REF. DNU]], "$0"),0)</f>
        <v>314684</v>
      </c>
      <c r="AE28" s="118">
        <v>210</v>
      </c>
      <c r="AF28" s="118">
        <v>50</v>
      </c>
      <c r="AG28" s="5">
        <v>361</v>
      </c>
      <c r="AH28" s="5">
        <v>51</v>
      </c>
      <c r="AI28" s="5">
        <v>462</v>
      </c>
      <c r="AJ28" s="5">
        <f>Table2[[#This Row],[2025-26 FN_SR]]*Table2[[#This Row],[Student Count as per 2022-23 Nominal Roll]]</f>
        <v>97020</v>
      </c>
    </row>
    <row r="29" spans="1:36" x14ac:dyDescent="0.3">
      <c r="A29">
        <v>49</v>
      </c>
      <c r="B29" t="s">
        <v>269</v>
      </c>
      <c r="D29" s="123">
        <v>186</v>
      </c>
      <c r="E29" s="123">
        <v>82</v>
      </c>
      <c r="F29" s="123"/>
      <c r="G29" s="125">
        <v>280900</v>
      </c>
      <c r="H29" s="115">
        <v>363252</v>
      </c>
      <c r="I29" s="5">
        <v>7320708</v>
      </c>
      <c r="J29" s="5">
        <v>80277</v>
      </c>
      <c r="K29" s="5">
        <v>483100</v>
      </c>
      <c r="L29" s="5">
        <v>17000</v>
      </c>
      <c r="M29" s="115"/>
      <c r="N29" s="115">
        <v>0</v>
      </c>
      <c r="O29" s="5">
        <v>0</v>
      </c>
      <c r="P29" s="5"/>
      <c r="Q29" s="5">
        <f>Table2[[#This Row],[2024-25 BCTEA To/from Carryover]]+Table2[[#This Row],[2024-25 BCTEA EX Carryover - REMAINING AFTER REPURPOSING]]</f>
        <v>0</v>
      </c>
      <c r="R29" s="5">
        <v>14677</v>
      </c>
      <c r="S29" s="5">
        <f>Table2[[#This Row],[2025-26 BCTEA Approved]]-Table2[[#This Row],[2024-25 BCTEA To/from Carryover]]</f>
        <v>14677</v>
      </c>
      <c r="T29" s="5">
        <v>14677</v>
      </c>
      <c r="U29" s="5">
        <v>14677</v>
      </c>
      <c r="V29" s="5">
        <f>Table2[[#This Row],[2024-25 CDS Payment]]-W29</f>
        <v>0</v>
      </c>
      <c r="W29" s="5">
        <f>Table2[[#This Row],[2025-26 EX Allocation]]-Table2[[#This Row],[2023-24 Carryover Extracurricular repurposed repurposed for Extracurricular]]</f>
        <v>14677</v>
      </c>
      <c r="X29" s="5">
        <f>SUM(Table2[[#This Row],[Part of 2024-25 CDS Payment that is To/From]:[Part of 2024-25 CDS Payment that is Extracurricular]])-Table2[[#This Row],[2024-25 CDS Payment]]</f>
        <v>0</v>
      </c>
      <c r="Y29" s="5">
        <v>27222</v>
      </c>
      <c r="Z29" s="5"/>
      <c r="AA29" s="5"/>
      <c r="AB2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41899</v>
      </c>
      <c r="AC29" s="5">
        <v>0</v>
      </c>
      <c r="AD29" s="5">
        <f>ROUND(IF(Table2[[#This Row],[2025-26 BCTEA Approved]]-Table2[[#This Row],[2024-25 BCTEA To/from Carryover]]-Table2[[#This Row],[ex Repurposed to TO/FROM - FOR REF. DNU]]&gt;0,Table2[[#This Row],[2025-26 BCTEA Approved]]-Table2[[#This Row],[2024-25 BCTEA To/from Carryover]]-Table2[[#This Row],[ex Repurposed to TO/FROM - FOR REF. DNU]], "$0"),0)</f>
        <v>14677</v>
      </c>
      <c r="AE29" s="118">
        <v>100</v>
      </c>
      <c r="AF29" s="118">
        <v>388</v>
      </c>
      <c r="AG29" s="5">
        <v>2333</v>
      </c>
      <c r="AH29" s="5">
        <v>82</v>
      </c>
      <c r="AI29" s="5">
        <v>2803</v>
      </c>
      <c r="AJ29" s="5">
        <f>Table2[[#This Row],[2025-26 FN_SR]]*Table2[[#This Row],[Student Count as per 2022-23 Nominal Roll]]</f>
        <v>280300</v>
      </c>
    </row>
    <row r="30" spans="1:36" x14ac:dyDescent="0.3">
      <c r="A30">
        <v>50</v>
      </c>
      <c r="B30" t="s">
        <v>270</v>
      </c>
      <c r="D30" s="121">
        <v>310</v>
      </c>
      <c r="E30" s="121">
        <v>179</v>
      </c>
      <c r="G30" s="124">
        <v>366071</v>
      </c>
      <c r="H30" s="115">
        <v>348614</v>
      </c>
      <c r="I30" s="5">
        <v>12542905</v>
      </c>
      <c r="J30" s="5">
        <v>149851</v>
      </c>
      <c r="K30" s="5">
        <v>976949</v>
      </c>
      <c r="L30" s="5">
        <v>34000</v>
      </c>
      <c r="M30" s="115"/>
      <c r="N30" s="115">
        <v>0</v>
      </c>
      <c r="O30" s="5">
        <v>0</v>
      </c>
      <c r="P30" s="5"/>
      <c r="Q30" s="5">
        <f>Table2[[#This Row],[2024-25 BCTEA To/from Carryover]]+Table2[[#This Row],[2024-25 BCTEA EX Carryover - REMAINING AFTER REPURPOSING]]</f>
        <v>0</v>
      </c>
      <c r="R30" s="5">
        <v>79351</v>
      </c>
      <c r="S30" s="5">
        <f>Table2[[#This Row],[2025-26 BCTEA Approved]]-Table2[[#This Row],[2024-25 BCTEA To/from Carryover]]</f>
        <v>79351</v>
      </c>
      <c r="T30" s="5">
        <v>22894</v>
      </c>
      <c r="U30" s="5">
        <v>70212</v>
      </c>
      <c r="V30" s="5">
        <f>Table2[[#This Row],[2024-25 CDS Payment]]-W30</f>
        <v>47318</v>
      </c>
      <c r="W30" s="5">
        <f>Table2[[#This Row],[2025-26 EX Allocation]]-Table2[[#This Row],[2023-24 Carryover Extracurricular repurposed repurposed for Extracurricular]]</f>
        <v>22894</v>
      </c>
      <c r="X30" s="5">
        <f>SUM(Table2[[#This Row],[Part of 2024-25 CDS Payment that is To/From]:[Part of 2024-25 CDS Payment that is Extracurricular]])-Table2[[#This Row],[2024-25 CDS Payment]]</f>
        <v>0</v>
      </c>
      <c r="Y30" s="5">
        <v>30975</v>
      </c>
      <c r="Z30" s="5">
        <v>13939</v>
      </c>
      <c r="AA30" s="5"/>
      <c r="AB3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39930</v>
      </c>
      <c r="AC30" s="5">
        <v>0</v>
      </c>
      <c r="AD30" s="5">
        <f>ROUND(IF(Table2[[#This Row],[2025-26 BCTEA Approved]]-Table2[[#This Row],[2024-25 BCTEA To/from Carryover]]-Table2[[#This Row],[ex Repurposed to TO/FROM - FOR REF. DNU]]&gt;0,Table2[[#This Row],[2025-26 BCTEA Approved]]-Table2[[#This Row],[2024-25 BCTEA To/from Carryover]]-Table2[[#This Row],[ex Repurposed to TO/FROM - FOR REF. DNU]], "$0"),0)</f>
        <v>79351</v>
      </c>
      <c r="AE30" s="118">
        <v>156</v>
      </c>
      <c r="AF30" s="118">
        <v>302</v>
      </c>
      <c r="AG30" s="5">
        <v>1967</v>
      </c>
      <c r="AH30" s="5">
        <v>68</v>
      </c>
      <c r="AI30" s="5">
        <v>2337</v>
      </c>
      <c r="AJ30" s="5">
        <f>Table2[[#This Row],[2025-26 FN_SR]]*Table2[[#This Row],[Student Count as per 2022-23 Nominal Roll]]</f>
        <v>364572</v>
      </c>
    </row>
    <row r="31" spans="1:36" x14ac:dyDescent="0.3">
      <c r="A31">
        <v>51</v>
      </c>
      <c r="B31" t="s">
        <v>271</v>
      </c>
      <c r="D31" s="122"/>
      <c r="E31" s="122"/>
      <c r="G31" s="124">
        <v>0</v>
      </c>
      <c r="H31" s="115">
        <v>785892</v>
      </c>
      <c r="I31" s="5">
        <v>21164899</v>
      </c>
      <c r="J31" s="5">
        <v>153588</v>
      </c>
      <c r="K31" s="5">
        <v>892395</v>
      </c>
      <c r="L31" s="5">
        <v>106000</v>
      </c>
      <c r="M31" s="115"/>
      <c r="N31" s="115"/>
      <c r="O31" s="5">
        <v>0</v>
      </c>
      <c r="P31" s="5"/>
      <c r="Q31" s="5">
        <f>Table2[[#This Row],[2024-25 BCTEA To/from Carryover]]+Table2[[#This Row],[2024-25 BCTEA EX Carryover - REMAINING AFTER REPURPOSING]]</f>
        <v>0</v>
      </c>
      <c r="R31" s="5">
        <v>0</v>
      </c>
      <c r="S31" s="5">
        <f>Table2[[#This Row],[2025-26 BCTEA Approved]]-Table2[[#This Row],[2024-25 BCTEA To/from Carryover]]</f>
        <v>0</v>
      </c>
      <c r="T31" s="5">
        <v>0</v>
      </c>
      <c r="U31" s="5">
        <v>0</v>
      </c>
      <c r="V31" s="5">
        <f>Table2[[#This Row],[2024-25 CDS Payment]]-W31</f>
        <v>0</v>
      </c>
      <c r="W31" s="5">
        <f>Table2[[#This Row],[2025-26 EX Allocation]]-Table2[[#This Row],[2023-24 Carryover Extracurricular repurposed repurposed for Extracurricular]]</f>
        <v>0</v>
      </c>
      <c r="X31" s="5">
        <f>SUM(Table2[[#This Row],[Part of 2024-25 CDS Payment that is To/From]:[Part of 2024-25 CDS Payment that is Extracurricular]])-Table2[[#This Row],[2024-25 CDS Payment]]</f>
        <v>0</v>
      </c>
      <c r="Y31" s="5"/>
      <c r="Z31" s="5">
        <v>0</v>
      </c>
      <c r="AA31" s="5"/>
      <c r="AB3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31" s="5">
        <v>0</v>
      </c>
      <c r="AD31"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31" s="118"/>
      <c r="AF31" s="118">
        <v>122</v>
      </c>
      <c r="AG31" s="5">
        <v>707</v>
      </c>
      <c r="AH31" s="5">
        <v>84</v>
      </c>
      <c r="AI31" s="5">
        <v>913</v>
      </c>
      <c r="AJ31" s="5">
        <f>Table2[[#This Row],[2025-26 FN_SR]]*Table2[[#This Row],[Student Count as per 2022-23 Nominal Roll]]</f>
        <v>0</v>
      </c>
    </row>
    <row r="32" spans="1:36" x14ac:dyDescent="0.3">
      <c r="A32">
        <v>52</v>
      </c>
      <c r="B32" t="s">
        <v>272</v>
      </c>
      <c r="D32" s="121">
        <v>39</v>
      </c>
      <c r="E32" s="121">
        <v>28</v>
      </c>
      <c r="G32" s="124">
        <v>13832</v>
      </c>
      <c r="H32" s="115">
        <v>278426</v>
      </c>
      <c r="I32" s="5">
        <v>27183499</v>
      </c>
      <c r="J32" s="5">
        <v>117597</v>
      </c>
      <c r="K32" s="5">
        <v>648768</v>
      </c>
      <c r="L32" s="5">
        <v>135000</v>
      </c>
      <c r="M32" s="115"/>
      <c r="N32" s="115">
        <v>0</v>
      </c>
      <c r="O32" s="5">
        <v>0</v>
      </c>
      <c r="P32" s="5"/>
      <c r="Q32" s="5">
        <f>Table2[[#This Row],[2024-25 BCTEA To/from Carryover]]+Table2[[#This Row],[2024-25 BCTEA EX Carryover - REMAINING AFTER REPURPOSING]]</f>
        <v>0</v>
      </c>
      <c r="R32" s="5">
        <v>272016</v>
      </c>
      <c r="S32" s="5">
        <f>Table2[[#This Row],[2025-26 BCTEA Approved]]-Table2[[#This Row],[2024-25 BCTEA To/from Carryover]]</f>
        <v>272016</v>
      </c>
      <c r="T32" s="5">
        <v>3378</v>
      </c>
      <c r="U32" s="5">
        <v>179023</v>
      </c>
      <c r="V32" s="5">
        <f>Table2[[#This Row],[2024-25 CDS Payment]]-W32</f>
        <v>175645</v>
      </c>
      <c r="W32" s="5">
        <f>Table2[[#This Row],[2025-26 EX Allocation]]-Table2[[#This Row],[2023-24 Carryover Extracurricular repurposed repurposed for Extracurricular]]</f>
        <v>3378</v>
      </c>
      <c r="X32" s="5">
        <f>SUM(Table2[[#This Row],[Part of 2024-25 CDS Payment that is To/From]:[Part of 2024-25 CDS Payment that is Extracurricular]])-Table2[[#This Row],[2024-25 CDS Payment]]</f>
        <v>0</v>
      </c>
      <c r="Y32" s="5">
        <v>4049</v>
      </c>
      <c r="Z32" s="5">
        <v>0</v>
      </c>
      <c r="AA32" s="5"/>
      <c r="AB3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7427</v>
      </c>
      <c r="AC32" s="5">
        <v>0</v>
      </c>
      <c r="AD32" s="5">
        <f>ROUND(IF(Table2[[#This Row],[2025-26 BCTEA Approved]]-Table2[[#This Row],[2024-25 BCTEA To/from Carryover]]-Table2[[#This Row],[ex Repurposed to TO/FROM - FOR REF. DNU]]&gt;0,Table2[[#This Row],[2025-26 BCTEA Approved]]-Table2[[#This Row],[2024-25 BCTEA To/from Carryover]]-Table2[[#This Row],[ex Repurposed to TO/FROM - FOR REF. DNU]], "$0"),0)</f>
        <v>272016</v>
      </c>
      <c r="AE32" s="118">
        <v>23</v>
      </c>
      <c r="AF32" s="118">
        <v>65</v>
      </c>
      <c r="AG32" s="5">
        <v>361</v>
      </c>
      <c r="AH32" s="5">
        <v>75</v>
      </c>
      <c r="AI32" s="5">
        <v>501</v>
      </c>
      <c r="AJ32" s="5">
        <f>Table2[[#This Row],[2025-26 FN_SR]]*Table2[[#This Row],[Student Count as per 2022-23 Nominal Roll]]</f>
        <v>11523</v>
      </c>
    </row>
    <row r="33" spans="1:36" x14ac:dyDescent="0.3">
      <c r="A33">
        <v>53</v>
      </c>
      <c r="B33" t="s">
        <v>273</v>
      </c>
      <c r="D33" s="121">
        <v>835</v>
      </c>
      <c r="E33" s="121">
        <v>119</v>
      </c>
      <c r="G33" s="124">
        <v>167044</v>
      </c>
      <c r="H33" s="115">
        <v>1184144</v>
      </c>
      <c r="I33" s="5">
        <v>34814033</v>
      </c>
      <c r="J33" s="5">
        <v>209099</v>
      </c>
      <c r="K33" s="5">
        <v>1372528</v>
      </c>
      <c r="L33" s="5">
        <v>232000</v>
      </c>
      <c r="M33" s="115"/>
      <c r="N33" s="115">
        <v>0</v>
      </c>
      <c r="O33" s="5">
        <v>0</v>
      </c>
      <c r="P33" s="5"/>
      <c r="Q33" s="5">
        <f>Table2[[#This Row],[2024-25 BCTEA To/from Carryover]]+Table2[[#This Row],[2024-25 BCTEA EX Carryover - REMAINING AFTER REPURPOSING]]</f>
        <v>0</v>
      </c>
      <c r="R33" s="5">
        <v>80241</v>
      </c>
      <c r="S33" s="5">
        <f>Table2[[#This Row],[2025-26 BCTEA Approved]]-Table2[[#This Row],[2024-25 BCTEA To/from Carryover]]</f>
        <v>80241</v>
      </c>
      <c r="T33" s="5">
        <v>16291</v>
      </c>
      <c r="U33" s="5">
        <v>41617</v>
      </c>
      <c r="V33" s="5">
        <f>Table2[[#This Row],[2024-25 CDS Payment]]-W33</f>
        <v>25326</v>
      </c>
      <c r="W33" s="5">
        <f>Table2[[#This Row],[2025-26 EX Allocation]]-Table2[[#This Row],[2023-24 Carryover Extracurricular repurposed repurposed for Extracurricular]]</f>
        <v>16291</v>
      </c>
      <c r="X33" s="5">
        <f>SUM(Table2[[#This Row],[Part of 2024-25 CDS Payment that is To/From]:[Part of 2024-25 CDS Payment that is Extracurricular]])-Table2[[#This Row],[2024-25 CDS Payment]]</f>
        <v>0</v>
      </c>
      <c r="Y33" s="5">
        <v>50966</v>
      </c>
      <c r="Z33" s="5">
        <v>28031</v>
      </c>
      <c r="AA33" s="5"/>
      <c r="AB3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39226</v>
      </c>
      <c r="AC33" s="5">
        <v>0</v>
      </c>
      <c r="AD33" s="5">
        <f>ROUND(IF(Table2[[#This Row],[2025-26 BCTEA Approved]]-Table2[[#This Row],[2024-25 BCTEA To/from Carryover]]-Table2[[#This Row],[ex Repurposed to TO/FROM - FOR REF. DNU]]&gt;0,Table2[[#This Row],[2025-26 BCTEA Approved]]-Table2[[#This Row],[2024-25 BCTEA To/from Carryover]]-Table2[[#This Row],[ex Repurposed to TO/FROM - FOR REF. DNU]], "$0"),0)</f>
        <v>80241</v>
      </c>
      <c r="AE33" s="118">
        <v>111</v>
      </c>
      <c r="AF33" s="118">
        <v>91</v>
      </c>
      <c r="AG33" s="5">
        <v>595</v>
      </c>
      <c r="AH33" s="5">
        <v>101</v>
      </c>
      <c r="AI33" s="5">
        <v>787</v>
      </c>
      <c r="AJ33" s="5">
        <f>Table2[[#This Row],[2025-26 FN_SR]]*Table2[[#This Row],[Student Count as per 2022-23 Nominal Roll]]</f>
        <v>87357</v>
      </c>
    </row>
    <row r="34" spans="1:36" x14ac:dyDescent="0.3">
      <c r="A34">
        <v>54</v>
      </c>
      <c r="B34" t="s">
        <v>274</v>
      </c>
      <c r="D34" s="121">
        <v>676</v>
      </c>
      <c r="E34" s="121">
        <v>69</v>
      </c>
      <c r="G34" s="124">
        <v>101649</v>
      </c>
      <c r="H34" s="115">
        <v>1161949</v>
      </c>
      <c r="I34" s="5">
        <v>25893090</v>
      </c>
      <c r="J34" s="5">
        <v>163737</v>
      </c>
      <c r="K34" s="5">
        <v>1010045</v>
      </c>
      <c r="L34" s="5">
        <v>112000</v>
      </c>
      <c r="M34" s="115"/>
      <c r="N34" s="115">
        <v>0</v>
      </c>
      <c r="O34" s="5">
        <v>0</v>
      </c>
      <c r="P34" s="5"/>
      <c r="Q34" s="5">
        <f>Table2[[#This Row],[2024-25 BCTEA To/from Carryover]]+Table2[[#This Row],[2024-25 BCTEA EX Carryover - REMAINING AFTER REPURPOSING]]</f>
        <v>0</v>
      </c>
      <c r="R34" s="5">
        <v>104972</v>
      </c>
      <c r="S34" s="5">
        <f>Table2[[#This Row],[2025-26 BCTEA Approved]]-Table2[[#This Row],[2024-25 BCTEA To/from Carryover]]</f>
        <v>104972</v>
      </c>
      <c r="T34" s="5">
        <v>11889</v>
      </c>
      <c r="U34" s="5">
        <v>102356</v>
      </c>
      <c r="V34" s="5">
        <f>Table2[[#This Row],[2024-25 CDS Payment]]-W34</f>
        <v>90467</v>
      </c>
      <c r="W34" s="5">
        <f>Table2[[#This Row],[2025-26 EX Allocation]]-Table2[[#This Row],[2023-24 Carryover Extracurricular repurposed repurposed for Extracurricular]]</f>
        <v>11889</v>
      </c>
      <c r="X34" s="5">
        <f>SUM(Table2[[#This Row],[Part of 2024-25 CDS Payment that is To/From]:[Part of 2024-25 CDS Payment that is Extracurricular]])-Table2[[#This Row],[2024-25 CDS Payment]]</f>
        <v>0</v>
      </c>
      <c r="Y34" s="5">
        <v>11848</v>
      </c>
      <c r="Z34" s="5">
        <v>0</v>
      </c>
      <c r="AA34" s="5"/>
      <c r="AB3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23737</v>
      </c>
      <c r="AC34" s="5">
        <v>0</v>
      </c>
      <c r="AD34" s="5">
        <f>ROUND(IF(Table2[[#This Row],[2025-26 BCTEA Approved]]-Table2[[#This Row],[2024-25 BCTEA To/from Carryover]]-Table2[[#This Row],[ex Repurposed to TO/FROM - FOR REF. DNU]]&gt;0,Table2[[#This Row],[2025-26 BCTEA Approved]]-Table2[[#This Row],[2024-25 BCTEA To/from Carryover]]-Table2[[#This Row],[ex Repurposed to TO/FROM - FOR REF. DNU]], "$0"),0)</f>
        <v>104972</v>
      </c>
      <c r="AE34" s="118">
        <v>81</v>
      </c>
      <c r="AF34" s="118">
        <v>90</v>
      </c>
      <c r="AG34" s="5">
        <v>553</v>
      </c>
      <c r="AH34" s="5">
        <v>61</v>
      </c>
      <c r="AI34" s="5">
        <v>704</v>
      </c>
      <c r="AJ34" s="5">
        <f>Table2[[#This Row],[2025-26 FN_SR]]*Table2[[#This Row],[Student Count as per 2022-23 Nominal Roll]]</f>
        <v>57024</v>
      </c>
    </row>
    <row r="35" spans="1:36" x14ac:dyDescent="0.3">
      <c r="A35">
        <v>57</v>
      </c>
      <c r="B35" t="s">
        <v>275</v>
      </c>
      <c r="D35" s="121">
        <v>3287</v>
      </c>
      <c r="E35" s="121">
        <v>52</v>
      </c>
      <c r="G35" s="124">
        <v>98000</v>
      </c>
      <c r="H35" s="115">
        <v>5208460</v>
      </c>
      <c r="I35" s="5">
        <v>174500861</v>
      </c>
      <c r="J35" s="5">
        <v>687663</v>
      </c>
      <c r="K35" s="5">
        <v>4268250</v>
      </c>
      <c r="L35" s="5">
        <v>1083000</v>
      </c>
      <c r="M35" s="115"/>
      <c r="N35" s="115">
        <v>70632</v>
      </c>
      <c r="O35" s="5">
        <v>0</v>
      </c>
      <c r="P35" s="5"/>
      <c r="Q35" s="5">
        <f>Table2[[#This Row],[2024-25 BCTEA To/from Carryover]]+Table2[[#This Row],[2024-25 BCTEA EX Carryover - REMAINING AFTER REPURPOSING]]</f>
        <v>70632</v>
      </c>
      <c r="R35" s="5">
        <v>191438</v>
      </c>
      <c r="S35" s="5">
        <f>Table2[[#This Row],[2025-26 BCTEA Approved]]-Table2[[#This Row],[2024-25 BCTEA To/from Carryover]]</f>
        <v>120806</v>
      </c>
      <c r="T35" s="5">
        <v>9688</v>
      </c>
      <c r="U35" s="5">
        <v>168379</v>
      </c>
      <c r="V35" s="5">
        <f>Table2[[#This Row],[2024-25 CDS Payment]]-W35</f>
        <v>158691</v>
      </c>
      <c r="W35" s="5">
        <f>Table2[[#This Row],[2025-26 EX Allocation]]-Table2[[#This Row],[2023-24 Carryover Extracurricular repurposed repurposed for Extracurricular]]</f>
        <v>9688</v>
      </c>
      <c r="X35" s="5">
        <f>SUM(Table2[[#This Row],[Part of 2024-25 CDS Payment that is To/From]:[Part of 2024-25 CDS Payment that is Extracurricular]])-Table2[[#This Row],[2024-25 CDS Payment]]</f>
        <v>0</v>
      </c>
      <c r="Y35" s="5">
        <v>38203</v>
      </c>
      <c r="Z35" s="5">
        <v>24832</v>
      </c>
      <c r="AA35" s="5"/>
      <c r="AB3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23059</v>
      </c>
      <c r="AC35" s="5">
        <v>0</v>
      </c>
      <c r="AD35" s="5">
        <f>ROUND(IF(Table2[[#This Row],[2025-26 BCTEA Approved]]-Table2[[#This Row],[2024-25 BCTEA To/from Carryover]]-Table2[[#This Row],[ex Repurposed to TO/FROM - FOR REF. DNU]]&gt;0,Table2[[#This Row],[2025-26 BCTEA Approved]]-Table2[[#This Row],[2024-25 BCTEA To/from Carryover]]-Table2[[#This Row],[ex Repurposed to TO/FROM - FOR REF. DNU]], "$0"),0)</f>
        <v>120806</v>
      </c>
      <c r="AE35" s="118">
        <v>66</v>
      </c>
      <c r="AF35" s="118">
        <v>53</v>
      </c>
      <c r="AG35" s="5">
        <v>329</v>
      </c>
      <c r="AH35" s="5">
        <v>83</v>
      </c>
      <c r="AI35" s="5">
        <v>465</v>
      </c>
      <c r="AJ35" s="5">
        <f>Table2[[#This Row],[2025-26 FN_SR]]*Table2[[#This Row],[Student Count as per 2022-23 Nominal Roll]]</f>
        <v>30690</v>
      </c>
    </row>
    <row r="36" spans="1:36" x14ac:dyDescent="0.3">
      <c r="A36">
        <v>58</v>
      </c>
      <c r="B36" t="s">
        <v>276</v>
      </c>
      <c r="D36" s="121">
        <v>0</v>
      </c>
      <c r="E36" s="121">
        <v>0</v>
      </c>
      <c r="G36" s="124">
        <v>611301</v>
      </c>
      <c r="H36" s="115">
        <v>961058</v>
      </c>
      <c r="I36" s="5">
        <v>28470653</v>
      </c>
      <c r="J36" s="5">
        <v>170292</v>
      </c>
      <c r="K36" s="5">
        <v>845522</v>
      </c>
      <c r="L36" s="5">
        <v>140000</v>
      </c>
      <c r="M36" s="115"/>
      <c r="N36" s="115">
        <v>0</v>
      </c>
      <c r="O36" s="5">
        <v>0</v>
      </c>
      <c r="P36" s="5"/>
      <c r="Q36" s="5">
        <f>Table2[[#This Row],[2024-25 BCTEA To/from Carryover]]+Table2[[#This Row],[2024-25 BCTEA EX Carryover - REMAINING AFTER REPURPOSING]]</f>
        <v>0</v>
      </c>
      <c r="R36" s="5">
        <v>73936</v>
      </c>
      <c r="S36" s="5">
        <f>Table2[[#This Row],[2025-26 BCTEA Approved]]-Table2[[#This Row],[2024-25 BCTEA To/from Carryover]]</f>
        <v>73936</v>
      </c>
      <c r="T36" s="5">
        <v>30817</v>
      </c>
      <c r="U36" s="5">
        <v>73936</v>
      </c>
      <c r="V36" s="5">
        <f>Table2[[#This Row],[2024-25 CDS Payment]]-W36</f>
        <v>43119</v>
      </c>
      <c r="W36" s="5">
        <f>Table2[[#This Row],[2025-26 EX Allocation]]-Table2[[#This Row],[2023-24 Carryover Extracurricular repurposed repurposed for Extracurricular]]</f>
        <v>30817</v>
      </c>
      <c r="X36" s="5">
        <f>SUM(Table2[[#This Row],[Part of 2024-25 CDS Payment that is To/From]:[Part of 2024-25 CDS Payment that is Extracurricular]])-Table2[[#This Row],[2024-25 CDS Payment]]</f>
        <v>0</v>
      </c>
      <c r="Y36" s="5">
        <v>0</v>
      </c>
      <c r="Z36" s="5">
        <v>0</v>
      </c>
      <c r="AA36" s="5"/>
      <c r="AB3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30817</v>
      </c>
      <c r="AC36" s="5">
        <v>0</v>
      </c>
      <c r="AD36" s="5">
        <f>ROUND(IF(Table2[[#This Row],[2025-26 BCTEA Approved]]-Table2[[#This Row],[2024-25 BCTEA To/from Carryover]]-Table2[[#This Row],[ex Repurposed to TO/FROM - FOR REF. DNU]]&gt;0,Table2[[#This Row],[2025-26 BCTEA Approved]]-Table2[[#This Row],[2024-25 BCTEA To/from Carryover]]-Table2[[#This Row],[ex Repurposed to TO/FROM - FOR REF. DNU]], "$0"),0)</f>
        <v>73936</v>
      </c>
      <c r="AE36" s="118">
        <v>210</v>
      </c>
      <c r="AF36" s="118">
        <v>80</v>
      </c>
      <c r="AG36" s="5">
        <v>396</v>
      </c>
      <c r="AH36" s="5">
        <v>66</v>
      </c>
      <c r="AI36" s="5">
        <v>542</v>
      </c>
      <c r="AJ36" s="5">
        <f>Table2[[#This Row],[2025-26 FN_SR]]*Table2[[#This Row],[Student Count as per 2022-23 Nominal Roll]]</f>
        <v>113820</v>
      </c>
    </row>
    <row r="37" spans="1:36" x14ac:dyDescent="0.3">
      <c r="A37">
        <v>59</v>
      </c>
      <c r="B37" t="s">
        <v>277</v>
      </c>
      <c r="D37" s="121">
        <v>1340</v>
      </c>
      <c r="E37" s="121">
        <v>99</v>
      </c>
      <c r="G37" s="124">
        <v>333786</v>
      </c>
      <c r="H37" s="115">
        <v>3965076</v>
      </c>
      <c r="I37" s="5">
        <v>52708150</v>
      </c>
      <c r="J37" s="5">
        <v>441458</v>
      </c>
      <c r="K37" s="5">
        <v>2259494</v>
      </c>
      <c r="L37" s="5">
        <v>209000</v>
      </c>
      <c r="M37" s="115"/>
      <c r="N37" s="115">
        <v>0</v>
      </c>
      <c r="O37" s="5">
        <v>1563</v>
      </c>
      <c r="P37" s="5"/>
      <c r="Q37" s="5">
        <f>Table2[[#This Row],[2024-25 BCTEA To/from Carryover]]+Table2[[#This Row],[2024-25 BCTEA EX Carryover - REMAINING AFTER REPURPOSING]]</f>
        <v>1563</v>
      </c>
      <c r="R37" s="5">
        <v>15704</v>
      </c>
      <c r="S37" s="5">
        <f>Table2[[#This Row],[2025-26 BCTEA Approved]]-Table2[[#This Row],[2024-25 BCTEA To/from Carryover]]</f>
        <v>15704</v>
      </c>
      <c r="T37" s="5">
        <v>15704</v>
      </c>
      <c r="U37" s="5">
        <v>0</v>
      </c>
      <c r="V37" s="5">
        <f>Table2[[#This Row],[2024-25 CDS Payment]]-W37</f>
        <v>-15704</v>
      </c>
      <c r="W37" s="5">
        <f>Table2[[#This Row],[2025-26 EX Allocation]]-Table2[[#This Row],[2023-24 Carryover Extracurricular repurposed repurposed for Extracurricular]]</f>
        <v>15704</v>
      </c>
      <c r="X37" s="5">
        <f>SUM(Table2[[#This Row],[Part of 2024-25 CDS Payment that is To/From]:[Part of 2024-25 CDS Payment that is Extracurricular]])-Table2[[#This Row],[2024-25 CDS Payment]]</f>
        <v>0</v>
      </c>
      <c r="Y37" s="5">
        <v>22749</v>
      </c>
      <c r="Z37" s="5">
        <v>0</v>
      </c>
      <c r="AA37" s="5"/>
      <c r="AB3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38453</v>
      </c>
      <c r="AC37" s="5">
        <v>0</v>
      </c>
      <c r="AD37" s="5">
        <f>ROUND(IF(Table2[[#This Row],[2025-26 BCTEA Approved]]-Table2[[#This Row],[2024-25 BCTEA To/from Carryover]]-Table2[[#This Row],[ex Repurposed to TO/FROM - FOR REF. DNU]]&gt;0,Table2[[#This Row],[2025-26 BCTEA Approved]]-Table2[[#This Row],[2024-25 BCTEA To/from Carryover]]-Table2[[#This Row],[ex Repurposed to TO/FROM - FOR REF. DNU]], "$0"),0)</f>
        <v>15704</v>
      </c>
      <c r="AE37" s="118">
        <v>107</v>
      </c>
      <c r="AF37" s="118">
        <v>123</v>
      </c>
      <c r="AG37" s="5">
        <v>628</v>
      </c>
      <c r="AH37" s="5">
        <v>58</v>
      </c>
      <c r="AI37" s="5">
        <v>809</v>
      </c>
      <c r="AJ37" s="5">
        <f>Table2[[#This Row],[2025-26 FN_SR]]*Table2[[#This Row],[Student Count as per 2022-23 Nominal Roll]]</f>
        <v>86563</v>
      </c>
    </row>
    <row r="38" spans="1:36" x14ac:dyDescent="0.3">
      <c r="A38">
        <v>60</v>
      </c>
      <c r="B38" t="s">
        <v>278</v>
      </c>
      <c r="D38" s="121">
        <v>1987</v>
      </c>
      <c r="E38" s="121">
        <v>72</v>
      </c>
      <c r="G38" s="124">
        <v>47300</v>
      </c>
      <c r="H38" s="115">
        <v>4256683</v>
      </c>
      <c r="I38" s="5">
        <v>80887118</v>
      </c>
      <c r="J38" s="5">
        <v>425785</v>
      </c>
      <c r="K38" s="5">
        <v>2308342</v>
      </c>
      <c r="L38" s="5">
        <v>361000</v>
      </c>
      <c r="M38" s="115"/>
      <c r="N38" s="115">
        <v>22141</v>
      </c>
      <c r="O38" s="5">
        <v>0</v>
      </c>
      <c r="P38" s="5"/>
      <c r="Q38" s="5">
        <f>Table2[[#This Row],[2024-25 BCTEA To/from Carryover]]+Table2[[#This Row],[2024-25 BCTEA EX Carryover - REMAINING AFTER REPURPOSING]]</f>
        <v>22141</v>
      </c>
      <c r="R38" s="5">
        <v>235037</v>
      </c>
      <c r="S38" s="5">
        <f>Table2[[#This Row],[2025-26 BCTEA Approved]]-Table2[[#This Row],[2024-25 BCTEA To/from Carryover]]</f>
        <v>212896</v>
      </c>
      <c r="T38" s="5">
        <v>0</v>
      </c>
      <c r="U38" s="5">
        <v>208802</v>
      </c>
      <c r="V38" s="5">
        <f>Table2[[#This Row],[2024-25 CDS Payment]]-W38</f>
        <v>208802</v>
      </c>
      <c r="W38" s="5">
        <f>Table2[[#This Row],[2025-26 EX Allocation]]-Table2[[#This Row],[2023-24 Carryover Extracurricular repurposed repurposed for Extracurricular]]</f>
        <v>0</v>
      </c>
      <c r="X38" s="5">
        <f>SUM(Table2[[#This Row],[Part of 2024-25 CDS Payment that is To/From]:[Part of 2024-25 CDS Payment that is Extracurricular]])-Table2[[#This Row],[2024-25 CDS Payment]]</f>
        <v>0</v>
      </c>
      <c r="Y38" s="5">
        <v>43926</v>
      </c>
      <c r="Z38" s="5">
        <v>28552</v>
      </c>
      <c r="AA38" s="5"/>
      <c r="AB3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15374</v>
      </c>
      <c r="AC38" s="5">
        <v>0</v>
      </c>
      <c r="AD38" s="5">
        <f>ROUND(IF(Table2[[#This Row],[2025-26 BCTEA Approved]]-Table2[[#This Row],[2024-25 BCTEA To/from Carryover]]-Table2[[#This Row],[ex Repurposed to TO/FROM - FOR REF. DNU]]&gt;0,Table2[[#This Row],[2025-26 BCTEA Approved]]-Table2[[#This Row],[2024-25 BCTEA To/from Carryover]]-Table2[[#This Row],[ex Repurposed to TO/FROM - FOR REF. DNU]], "$0"),0)</f>
        <v>212896</v>
      </c>
      <c r="AE38" s="118">
        <v>74</v>
      </c>
      <c r="AF38" s="118">
        <v>71</v>
      </c>
      <c r="AG38" s="5">
        <v>387</v>
      </c>
      <c r="AH38" s="5">
        <v>61</v>
      </c>
      <c r="AI38" s="5">
        <v>519</v>
      </c>
      <c r="AJ38" s="5">
        <f>Table2[[#This Row],[2025-26 FN_SR]]*Table2[[#This Row],[Student Count as per 2022-23 Nominal Roll]]</f>
        <v>38406</v>
      </c>
    </row>
    <row r="39" spans="1:36" x14ac:dyDescent="0.3">
      <c r="A39">
        <v>61</v>
      </c>
      <c r="B39" t="s">
        <v>279</v>
      </c>
      <c r="D39" s="121">
        <v>517</v>
      </c>
      <c r="E39" s="121">
        <v>103</v>
      </c>
      <c r="G39" s="124">
        <v>7432</v>
      </c>
      <c r="H39" s="115">
        <v>1692449</v>
      </c>
      <c r="I39" s="5">
        <v>239958633</v>
      </c>
      <c r="J39" s="5">
        <v>20027</v>
      </c>
      <c r="K39" s="5">
        <v>137062</v>
      </c>
      <c r="L39" s="5">
        <v>1181000</v>
      </c>
      <c r="M39" s="115"/>
      <c r="N39" s="115">
        <v>0</v>
      </c>
      <c r="O39" s="5">
        <v>0</v>
      </c>
      <c r="P39" s="5"/>
      <c r="Q39" s="5">
        <f>Table2[[#This Row],[2024-25 BCTEA To/from Carryover]]+Table2[[#This Row],[2024-25 BCTEA EX Carryover - REMAINING AFTER REPURPOSING]]</f>
        <v>0</v>
      </c>
      <c r="R39" s="5">
        <v>85508</v>
      </c>
      <c r="S39" s="5">
        <f>Table2[[#This Row],[2025-26 BCTEA Approved]]-Table2[[#This Row],[2024-25 BCTEA To/from Carryover]]</f>
        <v>85508</v>
      </c>
      <c r="T39" s="5">
        <v>2080</v>
      </c>
      <c r="U39" s="5">
        <v>45819</v>
      </c>
      <c r="V39" s="5">
        <f>Table2[[#This Row],[2024-25 CDS Payment]]-W39</f>
        <v>43739</v>
      </c>
      <c r="W39" s="5">
        <f>Table2[[#This Row],[2025-26 EX Allocation]]-Table2[[#This Row],[2023-24 Carryover Extracurricular repurposed repurposed for Extracurricular]]</f>
        <v>2080</v>
      </c>
      <c r="X39" s="5">
        <f>SUM(Table2[[#This Row],[Part of 2024-25 CDS Payment that is To/From]:[Part of 2024-25 CDS Payment that is Extracurricular]])-Table2[[#This Row],[2024-25 CDS Payment]]</f>
        <v>0</v>
      </c>
      <c r="Y39" s="5">
        <v>42810</v>
      </c>
      <c r="Z39" s="5">
        <v>19265</v>
      </c>
      <c r="AA39" s="5"/>
      <c r="AB3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25625</v>
      </c>
      <c r="AC39" s="5">
        <v>0</v>
      </c>
      <c r="AD39" s="5">
        <f>ROUND(IF(Table2[[#This Row],[2025-26 BCTEA Approved]]-Table2[[#This Row],[2024-25 BCTEA To/from Carryover]]-Table2[[#This Row],[ex Repurposed to TO/FROM - FOR REF. DNU]]&gt;0,Table2[[#This Row],[2025-26 BCTEA Approved]]-Table2[[#This Row],[2024-25 BCTEA To/from Carryover]]-Table2[[#This Row],[ex Repurposed to TO/FROM - FOR REF. DNU]], "$0"),0)</f>
        <v>85508</v>
      </c>
      <c r="AE39" s="118">
        <v>110</v>
      </c>
      <c r="AF39" s="118">
        <v>1</v>
      </c>
      <c r="AG39" s="5">
        <v>7</v>
      </c>
      <c r="AH39" s="5">
        <v>57</v>
      </c>
      <c r="AI39" s="5">
        <v>65</v>
      </c>
      <c r="AJ39" s="5">
        <f>Table2[[#This Row],[2025-26 FN_SR]]*Table2[[#This Row],[Student Count as per 2022-23 Nominal Roll]]</f>
        <v>7150</v>
      </c>
    </row>
    <row r="40" spans="1:36" x14ac:dyDescent="0.3">
      <c r="A40">
        <v>62</v>
      </c>
      <c r="B40" t="s">
        <v>280</v>
      </c>
      <c r="D40" s="121">
        <v>2918</v>
      </c>
      <c r="E40" s="121">
        <v>75</v>
      </c>
      <c r="G40" s="124">
        <v>185074</v>
      </c>
      <c r="H40" s="115">
        <v>3540700</v>
      </c>
      <c r="I40" s="5">
        <v>172011974</v>
      </c>
      <c r="J40" s="5">
        <v>358365</v>
      </c>
      <c r="K40" s="5">
        <v>2230176</v>
      </c>
      <c r="L40" s="5">
        <v>919000</v>
      </c>
      <c r="M40" s="115"/>
      <c r="N40" s="115">
        <v>0</v>
      </c>
      <c r="O40" s="5">
        <v>0</v>
      </c>
      <c r="P40" s="5"/>
      <c r="Q40" s="5">
        <f>Table2[[#This Row],[2024-25 BCTEA To/from Carryover]]+Table2[[#This Row],[2024-25 BCTEA EX Carryover - REMAINING AFTER REPURPOSING]]</f>
        <v>0</v>
      </c>
      <c r="R40" s="5">
        <v>31000</v>
      </c>
      <c r="S40" s="5">
        <f>Table2[[#This Row],[2025-26 BCTEA Approved]]-Table2[[#This Row],[2024-25 BCTEA To/from Carryover]]</f>
        <v>31000</v>
      </c>
      <c r="T40" s="5">
        <v>11000</v>
      </c>
      <c r="U40" s="5">
        <v>17640</v>
      </c>
      <c r="V40" s="5">
        <f>Table2[[#This Row],[2024-25 CDS Payment]]-W40</f>
        <v>6640</v>
      </c>
      <c r="W40" s="5">
        <f>Table2[[#This Row],[2025-26 EX Allocation]]-Table2[[#This Row],[2023-24 Carryover Extracurricular repurposed repurposed for Extracurricular]]</f>
        <v>11000</v>
      </c>
      <c r="X40" s="5">
        <f>SUM(Table2[[#This Row],[Part of 2024-25 CDS Payment that is To/From]:[Part of 2024-25 CDS Payment that is Extracurricular]])-Table2[[#This Row],[2024-25 CDS Payment]]</f>
        <v>0</v>
      </c>
      <c r="Y40" s="5">
        <v>14568</v>
      </c>
      <c r="Z40" s="5"/>
      <c r="AA40" s="5"/>
      <c r="AB4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25568</v>
      </c>
      <c r="AC40" s="5">
        <v>0</v>
      </c>
      <c r="AD40" s="5">
        <f>ROUND(IF(Table2[[#This Row],[2025-26 BCTEA Approved]]-Table2[[#This Row],[2024-25 BCTEA To/from Carryover]]-Table2[[#This Row],[ex Repurposed to TO/FROM - FOR REF. DNU]]&gt;0,Table2[[#This Row],[2025-26 BCTEA Approved]]-Table2[[#This Row],[2024-25 BCTEA To/from Carryover]]-Table2[[#This Row],[ex Repurposed to TO/FROM - FOR REF. DNU]], "$0"),0)</f>
        <v>31000</v>
      </c>
      <c r="AE40" s="118">
        <v>76</v>
      </c>
      <c r="AF40" s="118">
        <v>25</v>
      </c>
      <c r="AG40" s="5">
        <v>158</v>
      </c>
      <c r="AH40" s="5">
        <v>65</v>
      </c>
      <c r="AI40" s="5">
        <v>248</v>
      </c>
      <c r="AJ40" s="5">
        <f>Table2[[#This Row],[2025-26 FN_SR]]*Table2[[#This Row],[Student Count as per 2022-23 Nominal Roll]]</f>
        <v>18848</v>
      </c>
    </row>
    <row r="41" spans="1:36" x14ac:dyDescent="0.3">
      <c r="A41">
        <v>63</v>
      </c>
      <c r="B41" t="s">
        <v>281</v>
      </c>
      <c r="D41" s="121">
        <v>2700</v>
      </c>
      <c r="E41" s="121">
        <v>288</v>
      </c>
      <c r="G41" s="124">
        <v>860943</v>
      </c>
      <c r="H41" s="115">
        <v>1727278</v>
      </c>
      <c r="I41" s="5">
        <v>89349377</v>
      </c>
      <c r="J41" s="5">
        <v>280000</v>
      </c>
      <c r="K41" s="5">
        <v>1707590</v>
      </c>
      <c r="L41" s="5">
        <v>506000</v>
      </c>
      <c r="M41" s="115"/>
      <c r="N41" s="115">
        <v>7376</v>
      </c>
      <c r="O41" s="5">
        <v>0</v>
      </c>
      <c r="P41" s="5"/>
      <c r="Q41" s="5">
        <f>Table2[[#This Row],[2024-25 BCTEA To/from Carryover]]+Table2[[#This Row],[2024-25 BCTEA EX Carryover - REMAINING AFTER REPURPOSING]]</f>
        <v>7376</v>
      </c>
      <c r="R41" s="5">
        <v>152782</v>
      </c>
      <c r="S41" s="5">
        <f>Table2[[#This Row],[2025-26 BCTEA Approved]]-Table2[[#This Row],[2024-25 BCTEA To/from Carryover]]</f>
        <v>145406</v>
      </c>
      <c r="T41" s="5">
        <v>38448</v>
      </c>
      <c r="U41" s="5">
        <v>59532</v>
      </c>
      <c r="V41" s="5">
        <f>Table2[[#This Row],[2024-25 CDS Payment]]-W41</f>
        <v>21084</v>
      </c>
      <c r="W41" s="5">
        <f>Table2[[#This Row],[2025-26 EX Allocation]]-Table2[[#This Row],[2023-24 Carryover Extracurricular repurposed repurposed for Extracurricular]]</f>
        <v>38448</v>
      </c>
      <c r="X41" s="5">
        <f>SUM(Table2[[#This Row],[Part of 2024-25 CDS Payment that is To/From]:[Part of 2024-25 CDS Payment that is Extracurricular]])-Table2[[#This Row],[2024-25 CDS Payment]]</f>
        <v>0</v>
      </c>
      <c r="Y41" s="5">
        <v>117374</v>
      </c>
      <c r="Z41" s="5">
        <v>52818</v>
      </c>
      <c r="AA41" s="5"/>
      <c r="AB4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103004</v>
      </c>
      <c r="AC41" s="5">
        <v>0</v>
      </c>
      <c r="AD41" s="5">
        <f>ROUND(IF(Table2[[#This Row],[2025-26 BCTEA Approved]]-Table2[[#This Row],[2024-25 BCTEA To/from Carryover]]-Table2[[#This Row],[ex Repurposed to TO/FROM - FOR REF. DNU]]&gt;0,Table2[[#This Row],[2025-26 BCTEA Approved]]-Table2[[#This Row],[2024-25 BCTEA To/from Carryover]]-Table2[[#This Row],[ex Repurposed to TO/FROM - FOR REF. DNU]], "$0"),0)</f>
        <v>145406</v>
      </c>
      <c r="AE41" s="118">
        <v>262</v>
      </c>
      <c r="AF41" s="118">
        <v>37</v>
      </c>
      <c r="AG41" s="5">
        <v>227</v>
      </c>
      <c r="AH41" s="5">
        <v>67</v>
      </c>
      <c r="AI41" s="5">
        <v>331</v>
      </c>
      <c r="AJ41" s="5">
        <f>Table2[[#This Row],[2025-26 FN_SR]]*Table2[[#This Row],[Student Count as per 2022-23 Nominal Roll]]</f>
        <v>86722</v>
      </c>
    </row>
    <row r="42" spans="1:36" x14ac:dyDescent="0.3">
      <c r="A42">
        <v>64</v>
      </c>
      <c r="B42" t="s">
        <v>282</v>
      </c>
      <c r="D42" s="122"/>
      <c r="E42" s="122"/>
      <c r="G42" s="124"/>
      <c r="H42" s="115">
        <v>1842617</v>
      </c>
      <c r="I42" s="5">
        <v>22517882</v>
      </c>
      <c r="J42" s="5">
        <v>328264</v>
      </c>
      <c r="K42" s="5">
        <v>1987384</v>
      </c>
      <c r="L42" s="5">
        <v>66000</v>
      </c>
      <c r="M42" s="115"/>
      <c r="N42" s="115">
        <v>0</v>
      </c>
      <c r="O42" s="5">
        <v>0</v>
      </c>
      <c r="P42" s="5"/>
      <c r="Q42" s="5">
        <f>Table2[[#This Row],[2024-25 BCTEA To/from Carryover]]+Table2[[#This Row],[2024-25 BCTEA EX Carryover - REMAINING AFTER REPURPOSING]]</f>
        <v>0</v>
      </c>
      <c r="R42" s="5">
        <v>0</v>
      </c>
      <c r="S42" s="5">
        <f>Table2[[#This Row],[2025-26 BCTEA Approved]]-Table2[[#This Row],[2024-25 BCTEA To/from Carryover]]</f>
        <v>0</v>
      </c>
      <c r="T42" s="5">
        <v>0</v>
      </c>
      <c r="U42" s="5">
        <v>0</v>
      </c>
      <c r="V42" s="5">
        <f>Table2[[#This Row],[2024-25 CDS Payment]]-W42</f>
        <v>0</v>
      </c>
      <c r="W42" s="5">
        <f>Table2[[#This Row],[2025-26 EX Allocation]]-Table2[[#This Row],[2023-24 Carryover Extracurricular repurposed repurposed for Extracurricular]]</f>
        <v>0</v>
      </c>
      <c r="X42" s="5">
        <f>SUM(Table2[[#This Row],[Part of 2024-25 CDS Payment that is To/From]:[Part of 2024-25 CDS Payment that is Extracurricular]])-Table2[[#This Row],[2024-25 CDS Payment]]</f>
        <v>0</v>
      </c>
      <c r="Y42" s="5">
        <v>150</v>
      </c>
      <c r="Z42" s="5">
        <v>0</v>
      </c>
      <c r="AA42" s="5"/>
      <c r="AB4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150</v>
      </c>
      <c r="AC42" s="5">
        <v>0</v>
      </c>
      <c r="AD42"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42" s="118">
        <v>1</v>
      </c>
      <c r="AF42" s="118">
        <v>227</v>
      </c>
      <c r="AG42" s="5">
        <v>1374</v>
      </c>
      <c r="AH42" s="5">
        <v>46</v>
      </c>
      <c r="AI42" s="5">
        <v>1647</v>
      </c>
      <c r="AJ42" s="5">
        <f>Table2[[#This Row],[2025-26 FN_SR]]*Table2[[#This Row],[Student Count as per 2022-23 Nominal Roll]]</f>
        <v>1647</v>
      </c>
    </row>
    <row r="43" spans="1:36" x14ac:dyDescent="0.3">
      <c r="A43">
        <v>67</v>
      </c>
      <c r="B43" t="s">
        <v>283</v>
      </c>
      <c r="D43" s="121">
        <v>1286</v>
      </c>
      <c r="E43" s="121">
        <v>37</v>
      </c>
      <c r="G43" s="124">
        <v>25366</v>
      </c>
      <c r="H43" s="115">
        <v>876578</v>
      </c>
      <c r="I43" s="5">
        <v>73390540</v>
      </c>
      <c r="J43" s="5">
        <v>167035</v>
      </c>
      <c r="K43" s="5">
        <v>1032070</v>
      </c>
      <c r="L43" s="5">
        <v>494000</v>
      </c>
      <c r="M43" s="115"/>
      <c r="N43" s="115">
        <v>0</v>
      </c>
      <c r="O43" s="5">
        <v>0</v>
      </c>
      <c r="P43" s="5"/>
      <c r="Q43" s="5">
        <f>Table2[[#This Row],[2024-25 BCTEA To/from Carryover]]+Table2[[#This Row],[2024-25 BCTEA EX Carryover - REMAINING AFTER REPURPOSING]]</f>
        <v>0</v>
      </c>
      <c r="R43" s="5">
        <v>67415</v>
      </c>
      <c r="S43" s="5">
        <f>Table2[[#This Row],[2025-26 BCTEA Approved]]-Table2[[#This Row],[2024-25 BCTEA To/from Carryover]]</f>
        <v>67415</v>
      </c>
      <c r="T43" s="5">
        <v>2000</v>
      </c>
      <c r="U43" s="5">
        <v>49241</v>
      </c>
      <c r="V43" s="5">
        <f>Table2[[#This Row],[2024-25 CDS Payment]]-W43</f>
        <v>47241</v>
      </c>
      <c r="W43" s="5">
        <f>Table2[[#This Row],[2025-26 EX Allocation]]-Table2[[#This Row],[2023-24 Carryover Extracurricular repurposed repurposed for Extracurricular]]</f>
        <v>2000</v>
      </c>
      <c r="X43" s="5">
        <f>SUM(Table2[[#This Row],[Part of 2024-25 CDS Payment that is To/From]:[Part of 2024-25 CDS Payment that is Extracurricular]])-Table2[[#This Row],[2024-25 CDS Payment]]</f>
        <v>0</v>
      </c>
      <c r="Y43" s="5">
        <v>28993</v>
      </c>
      <c r="Z43" s="5">
        <v>13047</v>
      </c>
      <c r="AA43" s="5"/>
      <c r="AB4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17946</v>
      </c>
      <c r="AC43" s="5">
        <v>0</v>
      </c>
      <c r="AD43" s="5">
        <f>ROUND(IF(Table2[[#This Row],[2025-26 BCTEA Approved]]-Table2[[#This Row],[2024-25 BCTEA To/from Carryover]]-Table2[[#This Row],[ex Repurposed to TO/FROM - FOR REF. DNU]]&gt;0,Table2[[#This Row],[2025-26 BCTEA Approved]]-Table2[[#This Row],[2024-25 BCTEA To/from Carryover]]-Table2[[#This Row],[ex Repurposed to TO/FROM - FOR REF. DNU]], "$0"),0)</f>
        <v>67415</v>
      </c>
      <c r="AE43" s="118">
        <v>67</v>
      </c>
      <c r="AF43" s="118">
        <v>29</v>
      </c>
      <c r="AG43" s="5">
        <v>178</v>
      </c>
      <c r="AH43" s="5">
        <v>85</v>
      </c>
      <c r="AI43" s="5">
        <v>292</v>
      </c>
      <c r="AJ43" s="5">
        <f>Table2[[#This Row],[2025-26 FN_SR]]*Table2[[#This Row],[Student Count as per 2022-23 Nominal Roll]]</f>
        <v>19564</v>
      </c>
    </row>
    <row r="44" spans="1:36" x14ac:dyDescent="0.3">
      <c r="A44">
        <v>68</v>
      </c>
      <c r="B44" t="s">
        <v>284</v>
      </c>
      <c r="D44" s="121">
        <v>950</v>
      </c>
      <c r="E44" s="121">
        <v>247</v>
      </c>
      <c r="G44" s="124">
        <v>32725</v>
      </c>
      <c r="H44" s="115">
        <v>1856846</v>
      </c>
      <c r="I44" s="5">
        <v>175037450</v>
      </c>
      <c r="J44" s="5">
        <v>244630</v>
      </c>
      <c r="K44" s="5">
        <v>1676271</v>
      </c>
      <c r="L44" s="5">
        <v>871000</v>
      </c>
      <c r="M44" s="115"/>
      <c r="N44" s="115">
        <v>0</v>
      </c>
      <c r="O44" s="5">
        <v>0</v>
      </c>
      <c r="P44" s="5"/>
      <c r="Q44" s="5">
        <f>Table2[[#This Row],[2024-25 BCTEA To/from Carryover]]+Table2[[#This Row],[2024-25 BCTEA EX Carryover - REMAINING AFTER REPURPOSING]]</f>
        <v>0</v>
      </c>
      <c r="R44" s="5">
        <v>347939</v>
      </c>
      <c r="S44" s="5">
        <f>Table2[[#This Row],[2025-26 BCTEA Approved]]-Table2[[#This Row],[2024-25 BCTEA To/from Carryover]]</f>
        <v>347939</v>
      </c>
      <c r="T44" s="5">
        <v>25682</v>
      </c>
      <c r="U44" s="5">
        <v>289596</v>
      </c>
      <c r="V44" s="5">
        <f>Table2[[#This Row],[2024-25 CDS Payment]]-W44</f>
        <v>263914</v>
      </c>
      <c r="W44" s="5">
        <f>Table2[[#This Row],[2025-26 EX Allocation]]-Table2[[#This Row],[2023-24 Carryover Extracurricular repurposed repurposed for Extracurricular]]</f>
        <v>25682</v>
      </c>
      <c r="X44" s="5">
        <f>SUM(Table2[[#This Row],[Part of 2024-25 CDS Payment that is To/From]:[Part of 2024-25 CDS Payment that is Extracurricular]])-Table2[[#This Row],[2024-25 CDS Payment]]</f>
        <v>0</v>
      </c>
      <c r="Y44" s="5">
        <v>93311</v>
      </c>
      <c r="Z44" s="5">
        <v>60652</v>
      </c>
      <c r="AA44" s="5"/>
      <c r="AB4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58341</v>
      </c>
      <c r="AC44" s="5">
        <v>0</v>
      </c>
      <c r="AD44" s="5">
        <f>ROUND(IF(Table2[[#This Row],[2025-26 BCTEA Approved]]-Table2[[#This Row],[2024-25 BCTEA To/from Carryover]]-Table2[[#This Row],[ex Repurposed to TO/FROM - FOR REF. DNU]]&gt;0,Table2[[#This Row],[2025-26 BCTEA Approved]]-Table2[[#This Row],[2024-25 BCTEA To/from Carryover]]-Table2[[#This Row],[ex Repurposed to TO/FROM - FOR REF. DNU]], "$0"),0)</f>
        <v>347939</v>
      </c>
      <c r="AE44" s="118">
        <v>175</v>
      </c>
      <c r="AF44" s="118">
        <v>16</v>
      </c>
      <c r="AG44" s="5">
        <v>110</v>
      </c>
      <c r="AH44" s="5">
        <v>57</v>
      </c>
      <c r="AI44" s="5">
        <v>183</v>
      </c>
      <c r="AJ44" s="5">
        <f>Table2[[#This Row],[2025-26 FN_SR]]*Table2[[#This Row],[Student Count as per 2022-23 Nominal Roll]]</f>
        <v>32025</v>
      </c>
    </row>
    <row r="45" spans="1:36" x14ac:dyDescent="0.3">
      <c r="A45">
        <v>69</v>
      </c>
      <c r="B45" t="s">
        <v>285</v>
      </c>
      <c r="D45" s="121">
        <v>1914</v>
      </c>
      <c r="E45" s="121">
        <v>35</v>
      </c>
      <c r="G45" s="124">
        <v>41556</v>
      </c>
      <c r="H45" s="115">
        <v>1868882</v>
      </c>
      <c r="I45" s="5">
        <v>52738869</v>
      </c>
      <c r="J45" s="5">
        <v>426341</v>
      </c>
      <c r="K45" s="5">
        <v>2443553</v>
      </c>
      <c r="L45" s="5">
        <v>180000</v>
      </c>
      <c r="M45" s="115"/>
      <c r="N45" s="115">
        <v>0</v>
      </c>
      <c r="O45" s="5">
        <v>0</v>
      </c>
      <c r="P45" s="5"/>
      <c r="Q45" s="5">
        <f>Table2[[#This Row],[2024-25 BCTEA To/from Carryover]]+Table2[[#This Row],[2024-25 BCTEA EX Carryover - REMAINING AFTER REPURPOSING]]</f>
        <v>0</v>
      </c>
      <c r="R45" s="5">
        <v>147980</v>
      </c>
      <c r="S45" s="5">
        <f>Table2[[#This Row],[2025-26 BCTEA Approved]]-Table2[[#This Row],[2024-25 BCTEA To/from Carryover]]</f>
        <v>147980</v>
      </c>
      <c r="T45" s="5">
        <v>2500</v>
      </c>
      <c r="U45" s="5">
        <v>132800</v>
      </c>
      <c r="V45" s="5">
        <f>Table2[[#This Row],[2024-25 CDS Payment]]-W45</f>
        <v>130300</v>
      </c>
      <c r="W45" s="5">
        <f>Table2[[#This Row],[2025-26 EX Allocation]]-Table2[[#This Row],[2023-24 Carryover Extracurricular repurposed repurposed for Extracurricular]]</f>
        <v>2500</v>
      </c>
      <c r="X45" s="5">
        <f>SUM(Table2[[#This Row],[Part of 2024-25 CDS Payment that is To/From]:[Part of 2024-25 CDS Payment that is Extracurricular]])-Table2[[#This Row],[2024-25 CDS Payment]]</f>
        <v>0</v>
      </c>
      <c r="Y45" s="5">
        <v>11452</v>
      </c>
      <c r="Z45" s="5">
        <v>0</v>
      </c>
      <c r="AA45" s="5"/>
      <c r="AB4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13952</v>
      </c>
      <c r="AC45" s="5">
        <v>0</v>
      </c>
      <c r="AD45" s="5">
        <f>ROUND(IF(Table2[[#This Row],[2025-26 BCTEA Approved]]-Table2[[#This Row],[2024-25 BCTEA To/from Carryover]]-Table2[[#This Row],[ex Repurposed to TO/FROM - FOR REF. DNU]]&gt;0,Table2[[#This Row],[2025-26 BCTEA Approved]]-Table2[[#This Row],[2024-25 BCTEA To/from Carryover]]-Table2[[#This Row],[ex Repurposed to TO/FROM - FOR REF. DNU]], "$0"),0)</f>
        <v>147980</v>
      </c>
      <c r="AE45" s="118">
        <v>35</v>
      </c>
      <c r="AF45" s="118">
        <v>99</v>
      </c>
      <c r="AG45" s="5">
        <v>569</v>
      </c>
      <c r="AH45" s="5">
        <v>42</v>
      </c>
      <c r="AI45" s="5">
        <v>710</v>
      </c>
      <c r="AJ45" s="5">
        <f>Table2[[#This Row],[2025-26 FN_SR]]*Table2[[#This Row],[Student Count as per 2022-23 Nominal Roll]]</f>
        <v>24850</v>
      </c>
    </row>
    <row r="46" spans="1:36" x14ac:dyDescent="0.3">
      <c r="A46">
        <v>70</v>
      </c>
      <c r="B46" t="s">
        <v>286</v>
      </c>
      <c r="D46" s="121">
        <v>1519</v>
      </c>
      <c r="E46" s="121">
        <v>234</v>
      </c>
      <c r="G46" s="124">
        <v>341543</v>
      </c>
      <c r="H46" s="115">
        <v>1677827</v>
      </c>
      <c r="I46" s="5">
        <v>49577377</v>
      </c>
      <c r="J46" s="5">
        <v>71717</v>
      </c>
      <c r="K46" s="5">
        <v>614822</v>
      </c>
      <c r="L46" s="5">
        <v>189000</v>
      </c>
      <c r="M46" s="115"/>
      <c r="N46" s="115">
        <v>0</v>
      </c>
      <c r="O46" s="5">
        <v>0</v>
      </c>
      <c r="P46" s="5"/>
      <c r="Q46" s="5">
        <f>Table2[[#This Row],[2024-25 BCTEA To/from Carryover]]+Table2[[#This Row],[2024-25 BCTEA EX Carryover - REMAINING AFTER REPURPOSING]]</f>
        <v>0</v>
      </c>
      <c r="R46" s="5">
        <v>134629</v>
      </c>
      <c r="S46" s="5">
        <f>Table2[[#This Row],[2025-26 BCTEA Approved]]-Table2[[#This Row],[2024-25 BCTEA To/from Carryover]]</f>
        <v>134629</v>
      </c>
      <c r="T46" s="5">
        <v>34339</v>
      </c>
      <c r="U46" s="5">
        <v>134629</v>
      </c>
      <c r="V46" s="5">
        <f>Table2[[#This Row],[2024-25 CDS Payment]]-W46</f>
        <v>100290</v>
      </c>
      <c r="W46" s="5">
        <f>Table2[[#This Row],[2025-26 EX Allocation]]-Table2[[#This Row],[2023-24 Carryover Extracurricular repurposed repurposed for Extracurricular]]</f>
        <v>34339</v>
      </c>
      <c r="X46" s="5">
        <f>SUM(Table2[[#This Row],[Part of 2024-25 CDS Payment that is To/From]:[Part of 2024-25 CDS Payment that is Extracurricular]])-Table2[[#This Row],[2024-25 CDS Payment]]</f>
        <v>0</v>
      </c>
      <c r="Y46" s="5">
        <v>0</v>
      </c>
      <c r="Z46" s="5">
        <v>0</v>
      </c>
      <c r="AA46" s="5"/>
      <c r="AB4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34339</v>
      </c>
      <c r="AC46" s="5">
        <v>0</v>
      </c>
      <c r="AD46" s="5">
        <f>ROUND(IF(Table2[[#This Row],[2025-26 BCTEA Approved]]-Table2[[#This Row],[2024-25 BCTEA To/from Carryover]]-Table2[[#This Row],[ex Repurposed to TO/FROM - FOR REF. DNU]]&gt;0,Table2[[#This Row],[2025-26 BCTEA Approved]]-Table2[[#This Row],[2024-25 BCTEA To/from Carryover]]-Table2[[#This Row],[ex Repurposed to TO/FROM - FOR REF. DNU]], "$0"),0)</f>
        <v>134629</v>
      </c>
      <c r="AE46" s="118">
        <v>234</v>
      </c>
      <c r="AF46" s="118">
        <v>18</v>
      </c>
      <c r="AG46" s="5">
        <v>156</v>
      </c>
      <c r="AH46" s="5">
        <v>48</v>
      </c>
      <c r="AI46" s="5">
        <v>222</v>
      </c>
      <c r="AJ46" s="5">
        <f>Table2[[#This Row],[2025-26 FN_SR]]*Table2[[#This Row],[Student Count as per 2022-23 Nominal Roll]]</f>
        <v>51948</v>
      </c>
    </row>
    <row r="47" spans="1:36" x14ac:dyDescent="0.3">
      <c r="A47">
        <v>71</v>
      </c>
      <c r="B47" t="s">
        <v>287</v>
      </c>
      <c r="D47" s="121">
        <v>2880</v>
      </c>
      <c r="E47" s="121">
        <v>25</v>
      </c>
      <c r="G47" s="124">
        <v>14942</v>
      </c>
      <c r="H47" s="115">
        <v>2853636</v>
      </c>
      <c r="I47" s="5">
        <v>124599677</v>
      </c>
      <c r="J47" s="5">
        <v>421375</v>
      </c>
      <c r="K47" s="5">
        <v>4347795</v>
      </c>
      <c r="L47" s="5">
        <v>556000</v>
      </c>
      <c r="M47" s="115"/>
      <c r="N47" s="115">
        <v>0</v>
      </c>
      <c r="O47" s="5">
        <v>0</v>
      </c>
      <c r="P47" s="5"/>
      <c r="Q47" s="5">
        <f>Table2[[#This Row],[2024-25 BCTEA To/from Carryover]]+Table2[[#This Row],[2024-25 BCTEA EX Carryover - REMAINING AFTER REPURPOSING]]</f>
        <v>0</v>
      </c>
      <c r="R47" s="5">
        <v>67620</v>
      </c>
      <c r="S47" s="5">
        <f>Table2[[#This Row],[2025-26 BCTEA Approved]]-Table2[[#This Row],[2024-25 BCTEA To/from Carryover]]</f>
        <v>67620</v>
      </c>
      <c r="T47" s="5">
        <v>0</v>
      </c>
      <c r="U47" s="5">
        <v>58345</v>
      </c>
      <c r="V47" s="5">
        <f>Table2[[#This Row],[2024-25 CDS Payment]]-W47</f>
        <v>58345</v>
      </c>
      <c r="W47" s="5">
        <f>Table2[[#This Row],[2025-26 EX Allocation]]-Table2[[#This Row],[2023-24 Carryover Extracurricular repurposed repurposed for Extracurricular]]</f>
        <v>0</v>
      </c>
      <c r="X47" s="5">
        <f>SUM(Table2[[#This Row],[Part of 2024-25 CDS Payment that is To/From]:[Part of 2024-25 CDS Payment that is Extracurricular]])-Table2[[#This Row],[2024-25 CDS Payment]]</f>
        <v>0</v>
      </c>
      <c r="Y47" s="5">
        <v>4723</v>
      </c>
      <c r="Z47" s="5">
        <v>0</v>
      </c>
      <c r="AA47" s="5"/>
      <c r="AB4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4723</v>
      </c>
      <c r="AC47" s="5">
        <v>0</v>
      </c>
      <c r="AD47" s="5">
        <f>ROUND(IF(Table2[[#This Row],[2025-26 BCTEA Approved]]-Table2[[#This Row],[2024-25 BCTEA To/from Carryover]]-Table2[[#This Row],[ex Repurposed to TO/FROM - FOR REF. DNU]]&gt;0,Table2[[#This Row],[2025-26 BCTEA Approved]]-Table2[[#This Row],[2024-25 BCTEA To/from Carryover]]-Table2[[#This Row],[ex Repurposed to TO/FROM - FOR REF. DNU]], "$0"),0)</f>
        <v>67620</v>
      </c>
      <c r="AE47" s="118">
        <v>31</v>
      </c>
      <c r="AF47" s="118">
        <v>39</v>
      </c>
      <c r="AG47" s="5">
        <v>400</v>
      </c>
      <c r="AH47" s="5">
        <v>51</v>
      </c>
      <c r="AI47" s="5">
        <v>490</v>
      </c>
      <c r="AJ47" s="5">
        <f>Table2[[#This Row],[2025-26 FN_SR]]*Table2[[#This Row],[Student Count as per 2022-23 Nominal Roll]]</f>
        <v>15190</v>
      </c>
    </row>
    <row r="48" spans="1:36" x14ac:dyDescent="0.3">
      <c r="A48">
        <v>72</v>
      </c>
      <c r="B48" t="s">
        <v>288</v>
      </c>
      <c r="D48" s="121">
        <v>800</v>
      </c>
      <c r="E48" s="121">
        <v>214</v>
      </c>
      <c r="G48" s="124">
        <v>211999</v>
      </c>
      <c r="H48" s="115">
        <v>1699641</v>
      </c>
      <c r="I48" s="5">
        <v>73130305</v>
      </c>
      <c r="J48" s="5">
        <v>316860</v>
      </c>
      <c r="K48" s="5">
        <v>2085799</v>
      </c>
      <c r="L48" s="5">
        <v>359000</v>
      </c>
      <c r="M48" s="115"/>
      <c r="N48" s="115">
        <v>0</v>
      </c>
      <c r="O48" s="5">
        <v>0</v>
      </c>
      <c r="P48" s="5"/>
      <c r="Q48" s="5">
        <f>Table2[[#This Row],[2024-25 BCTEA To/from Carryover]]+Table2[[#This Row],[2024-25 BCTEA EX Carryover - REMAINING AFTER REPURPOSING]]</f>
        <v>0</v>
      </c>
      <c r="R48" s="5">
        <v>118481</v>
      </c>
      <c r="S48" s="5">
        <f>Table2[[#This Row],[2025-26 BCTEA Approved]]-Table2[[#This Row],[2024-25 BCTEA To/from Carryover]]</f>
        <v>118481</v>
      </c>
      <c r="T48" s="5">
        <v>2000</v>
      </c>
      <c r="U48" s="5">
        <v>42827</v>
      </c>
      <c r="V48" s="5">
        <f>Table2[[#This Row],[2024-25 CDS Payment]]-W48</f>
        <v>40827</v>
      </c>
      <c r="W48" s="5">
        <f>Table2[[#This Row],[2025-26 EX Allocation]]-Table2[[#This Row],[2023-24 Carryover Extracurricular repurposed repurposed for Extracurricular]]</f>
        <v>2000</v>
      </c>
      <c r="X48" s="5">
        <f>SUM(Table2[[#This Row],[Part of 2024-25 CDS Payment that is To/From]:[Part of 2024-25 CDS Payment that is Extracurricular]])-Table2[[#This Row],[2024-25 CDS Payment]]</f>
        <v>0</v>
      </c>
      <c r="Y48" s="5">
        <v>100735</v>
      </c>
      <c r="Z48" s="5">
        <v>55404</v>
      </c>
      <c r="AA48" s="5"/>
      <c r="AB4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47331</v>
      </c>
      <c r="AC48" s="5">
        <v>0</v>
      </c>
      <c r="AD48" s="5">
        <f>ROUND(IF(Table2[[#This Row],[2025-26 BCTEA Approved]]-Table2[[#This Row],[2024-25 BCTEA To/from Carryover]]-Table2[[#This Row],[ex Repurposed to TO/FROM - FOR REF. DNU]]&gt;0,Table2[[#This Row],[2025-26 BCTEA Approved]]-Table2[[#This Row],[2024-25 BCTEA To/from Carryover]]-Table2[[#This Row],[ex Repurposed to TO/FROM - FOR REF. DNU]], "$0"),0)</f>
        <v>118481</v>
      </c>
      <c r="AE48" s="118">
        <v>215</v>
      </c>
      <c r="AF48" s="118">
        <v>56</v>
      </c>
      <c r="AG48" s="5">
        <v>366</v>
      </c>
      <c r="AH48" s="5">
        <v>63</v>
      </c>
      <c r="AI48" s="5">
        <v>485</v>
      </c>
      <c r="AJ48" s="5">
        <f>Table2[[#This Row],[2025-26 FN_SR]]*Table2[[#This Row],[Student Count as per 2022-23 Nominal Roll]]</f>
        <v>104275</v>
      </c>
    </row>
    <row r="49" spans="1:36" x14ac:dyDescent="0.3">
      <c r="A49">
        <v>73</v>
      </c>
      <c r="B49" t="s">
        <v>289</v>
      </c>
      <c r="D49" s="121">
        <v>5000</v>
      </c>
      <c r="E49" s="121">
        <v>281</v>
      </c>
      <c r="G49" s="124">
        <v>697994</v>
      </c>
      <c r="H49" s="115">
        <v>6083838</v>
      </c>
      <c r="I49" s="5">
        <v>200920319</v>
      </c>
      <c r="J49" s="5">
        <v>666817</v>
      </c>
      <c r="K49" s="5">
        <v>4769153</v>
      </c>
      <c r="L49" s="5">
        <v>1101000</v>
      </c>
      <c r="M49" s="115"/>
      <c r="N49" s="115">
        <v>9894</v>
      </c>
      <c r="O49" s="5">
        <v>0</v>
      </c>
      <c r="P49" s="172">
        <v>26250</v>
      </c>
      <c r="Q49" s="172">
        <f>Table2[[#This Row],[2024-25 BCTEA To/from Carryover]]+Table2[[#This Row],[2024-25 BCTEA EX Carryover - REMAINING AFTER REPURPOSING]]</f>
        <v>9894</v>
      </c>
      <c r="R49" s="5">
        <v>148991</v>
      </c>
      <c r="S49" s="5">
        <f>Table2[[#This Row],[2025-26 BCTEA Approved]]-Table2[[#This Row],[2024-25 BCTEA To/from Carryover]]</f>
        <v>139097</v>
      </c>
      <c r="T49" s="5">
        <v>41236</v>
      </c>
      <c r="U49" s="5">
        <v>43248</v>
      </c>
      <c r="V49" s="5">
        <f>Table2[[#This Row],[2024-25 CDS Payment]]-W49</f>
        <v>2012</v>
      </c>
      <c r="W49" s="5">
        <f>Table2[[#This Row],[2025-26 EX Allocation]]-Table2[[#This Row],[2023-24 Carryover Extracurricular repurposed repurposed for Extracurricular]]</f>
        <v>41236</v>
      </c>
      <c r="X49" s="5">
        <f>SUM(Table2[[#This Row],[Part of 2024-25 CDS Payment that is To/From]:[Part of 2024-25 CDS Payment that is Extracurricular]])-Table2[[#This Row],[2024-25 CDS Payment]]</f>
        <v>0</v>
      </c>
      <c r="Y49" s="5">
        <v>118349</v>
      </c>
      <c r="Z49" s="5">
        <v>65092</v>
      </c>
      <c r="AA49" s="5"/>
      <c r="AB4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94493</v>
      </c>
      <c r="AC49" s="5">
        <v>0</v>
      </c>
      <c r="AD49" s="5">
        <f>ROUND(IF(Table2[[#This Row],[2025-26 BCTEA Approved]]-Table2[[#This Row],[2024-25 BCTEA To/from Carryover]]-Table2[[#This Row],[ex Repurposed to TO/FROM - FOR REF. DNU]]&gt;0,Table2[[#This Row],[2025-26 BCTEA Approved]]-Table2[[#This Row],[2024-25 BCTEA To/from Carryover]]-Table2[[#This Row],[ex Repurposed to TO/FROM - FOR REF. DNU]], "$0"),0)</f>
        <v>139097</v>
      </c>
      <c r="AE49" s="118">
        <v>281</v>
      </c>
      <c r="AF49" s="118">
        <v>42</v>
      </c>
      <c r="AG49" s="5">
        <v>300</v>
      </c>
      <c r="AH49" s="5">
        <v>69</v>
      </c>
      <c r="AI49" s="5">
        <v>411</v>
      </c>
      <c r="AJ49" s="5">
        <f>Table2[[#This Row],[2025-26 FN_SR]]*Table2[[#This Row],[Student Count as per 2022-23 Nominal Roll]]</f>
        <v>115491</v>
      </c>
    </row>
    <row r="50" spans="1:36" x14ac:dyDescent="0.3">
      <c r="A50">
        <v>74</v>
      </c>
      <c r="B50" t="s">
        <v>290</v>
      </c>
      <c r="D50" s="121">
        <v>687</v>
      </c>
      <c r="E50" s="121">
        <v>324</v>
      </c>
      <c r="G50" s="124">
        <v>1185247</v>
      </c>
      <c r="H50" s="115">
        <v>1662164</v>
      </c>
      <c r="I50" s="5">
        <v>20959347</v>
      </c>
      <c r="J50" s="5">
        <v>366932</v>
      </c>
      <c r="K50" s="5">
        <v>2110371</v>
      </c>
      <c r="L50" s="5">
        <v>65000</v>
      </c>
      <c r="M50" s="115"/>
      <c r="N50" s="115">
        <v>0</v>
      </c>
      <c r="O50" s="5">
        <v>0</v>
      </c>
      <c r="P50" s="5"/>
      <c r="Q50" s="5">
        <f>Table2[[#This Row],[2024-25 BCTEA To/from Carryover]]+Table2[[#This Row],[2024-25 BCTEA EX Carryover - REMAINING AFTER REPURPOSING]]</f>
        <v>0</v>
      </c>
      <c r="R50" s="5">
        <v>20000</v>
      </c>
      <c r="S50" s="5">
        <f>Table2[[#This Row],[2025-26 BCTEA Approved]]-Table2[[#This Row],[2024-25 BCTEA To/from Carryover]]</f>
        <v>20000</v>
      </c>
      <c r="T50" s="5">
        <v>20000</v>
      </c>
      <c r="U50" s="5">
        <v>20000</v>
      </c>
      <c r="V50" s="5">
        <f>Table2[[#This Row],[2024-25 CDS Payment]]-W50</f>
        <v>0</v>
      </c>
      <c r="W50" s="5">
        <f>Table2[[#This Row],[2025-26 EX Allocation]]-Table2[[#This Row],[2023-24 Carryover Extracurricular repurposed repurposed for Extracurricular]]</f>
        <v>20000</v>
      </c>
      <c r="X50" s="5">
        <f>SUM(Table2[[#This Row],[Part of 2024-25 CDS Payment that is To/From]:[Part of 2024-25 CDS Payment that is Extracurricular]])-Table2[[#This Row],[2024-25 CDS Payment]]</f>
        <v>0</v>
      </c>
      <c r="Y50" s="5">
        <v>0</v>
      </c>
      <c r="Z50" s="5"/>
      <c r="AA50" s="5"/>
      <c r="AB5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20000</v>
      </c>
      <c r="AC50" s="5">
        <v>0</v>
      </c>
      <c r="AD50" s="5">
        <f>ROUND(IF(Table2[[#This Row],[2025-26 BCTEA Approved]]-Table2[[#This Row],[2024-25 BCTEA To/from Carryover]]-Table2[[#This Row],[ex Repurposed to TO/FROM - FOR REF. DNU]]&gt;0,Table2[[#This Row],[2025-26 BCTEA Approved]]-Table2[[#This Row],[2024-25 BCTEA To/from Carryover]]-Table2[[#This Row],[ex Repurposed to TO/FROM - FOR REF. DNU]], "$0"),0)</f>
        <v>20000</v>
      </c>
      <c r="AE50" s="118">
        <v>346</v>
      </c>
      <c r="AF50" s="118">
        <v>377</v>
      </c>
      <c r="AG50" s="5">
        <v>2167</v>
      </c>
      <c r="AH50" s="5">
        <v>67</v>
      </c>
      <c r="AI50" s="5">
        <v>2611</v>
      </c>
      <c r="AJ50" s="5">
        <f>Table2[[#This Row],[2025-26 FN_SR]]*Table2[[#This Row],[Student Count as per 2022-23 Nominal Roll]]</f>
        <v>903406</v>
      </c>
    </row>
    <row r="51" spans="1:36" x14ac:dyDescent="0.3">
      <c r="A51">
        <v>75</v>
      </c>
      <c r="B51" t="s">
        <v>291</v>
      </c>
      <c r="D51" s="121">
        <v>1423</v>
      </c>
      <c r="E51" s="121">
        <v>92</v>
      </c>
      <c r="G51" s="124">
        <v>145388</v>
      </c>
      <c r="H51" s="115">
        <v>1376529</v>
      </c>
      <c r="I51" s="5">
        <v>82843835</v>
      </c>
      <c r="J51" s="5">
        <v>188900</v>
      </c>
      <c r="K51" s="5">
        <v>1394890</v>
      </c>
      <c r="L51" s="5">
        <v>538000</v>
      </c>
      <c r="M51" s="115"/>
      <c r="N51" s="115">
        <v>0</v>
      </c>
      <c r="O51" s="5">
        <v>3537</v>
      </c>
      <c r="P51" s="5"/>
      <c r="Q51" s="5">
        <f>Table2[[#This Row],[2024-25 BCTEA To/from Carryover]]+Table2[[#This Row],[2024-25 BCTEA EX Carryover - REMAINING AFTER REPURPOSING]]</f>
        <v>3537</v>
      </c>
      <c r="R51" s="5">
        <v>13796</v>
      </c>
      <c r="S51" s="5">
        <f>Table2[[#This Row],[2025-26 BCTEA Approved]]-Table2[[#This Row],[2024-25 BCTEA To/from Carryover]]</f>
        <v>13796</v>
      </c>
      <c r="T51" s="5">
        <v>13796</v>
      </c>
      <c r="U51" s="5">
        <v>0</v>
      </c>
      <c r="V51" s="5">
        <f>Table2[[#This Row],[2024-25 CDS Payment]]-W51</f>
        <v>-13796</v>
      </c>
      <c r="W51" s="5">
        <f>Table2[[#This Row],[2025-26 EX Allocation]]-Table2[[#This Row],[2023-24 Carryover Extracurricular repurposed repurposed for Extracurricular]]</f>
        <v>13796</v>
      </c>
      <c r="X51" s="5">
        <f>SUM(Table2[[#This Row],[Part of 2024-25 CDS Payment that is To/From]:[Part of 2024-25 CDS Payment that is Extracurricular]])-Table2[[#This Row],[2024-25 CDS Payment]]</f>
        <v>0</v>
      </c>
      <c r="Y51" s="5">
        <v>46940</v>
      </c>
      <c r="Z51" s="5">
        <v>13796</v>
      </c>
      <c r="AA51" s="5"/>
      <c r="AB5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46940</v>
      </c>
      <c r="AC51" s="5">
        <v>0</v>
      </c>
      <c r="AD51" s="5">
        <f>ROUND(IF(Table2[[#This Row],[2025-26 BCTEA Approved]]-Table2[[#This Row],[2024-25 BCTEA To/from Carryover]]-Table2[[#This Row],[ex Repurposed to TO/FROM - FOR REF. DNU]]&gt;0,Table2[[#This Row],[2025-26 BCTEA Approved]]-Table2[[#This Row],[2024-25 BCTEA To/from Carryover]]-Table2[[#This Row],[ex Repurposed to TO/FROM - FOR REF. DNU]], "$0"),0)</f>
        <v>13796</v>
      </c>
      <c r="AE51" s="118">
        <v>94</v>
      </c>
      <c r="AF51" s="118">
        <v>29</v>
      </c>
      <c r="AG51" s="5">
        <v>212</v>
      </c>
      <c r="AH51" s="5">
        <v>82</v>
      </c>
      <c r="AI51" s="5">
        <v>323</v>
      </c>
      <c r="AJ51" s="5">
        <f>Table2[[#This Row],[2025-26 FN_SR]]*Table2[[#This Row],[Student Count as per 2022-23 Nominal Roll]]</f>
        <v>30362</v>
      </c>
    </row>
    <row r="52" spans="1:36" x14ac:dyDescent="0.3">
      <c r="A52">
        <v>78</v>
      </c>
      <c r="B52" t="s">
        <v>292</v>
      </c>
      <c r="D52" s="121">
        <v>891</v>
      </c>
      <c r="E52" s="121">
        <v>259</v>
      </c>
      <c r="G52" s="124">
        <v>455591</v>
      </c>
      <c r="H52" s="115">
        <v>1061438</v>
      </c>
      <c r="I52" s="5">
        <v>28806528</v>
      </c>
      <c r="J52" s="5">
        <v>184576</v>
      </c>
      <c r="K52" s="5">
        <v>1219814</v>
      </c>
      <c r="L52" s="5">
        <v>152000</v>
      </c>
      <c r="M52" s="115"/>
      <c r="N52" s="115">
        <v>45947</v>
      </c>
      <c r="O52" s="5">
        <v>0</v>
      </c>
      <c r="P52" s="5"/>
      <c r="Q52" s="5">
        <f>Table2[[#This Row],[2024-25 BCTEA To/from Carryover]]+Table2[[#This Row],[2024-25 BCTEA EX Carryover - REMAINING AFTER REPURPOSING]]</f>
        <v>45947</v>
      </c>
      <c r="R52" s="5">
        <v>123444</v>
      </c>
      <c r="S52" s="5">
        <f>Table2[[#This Row],[2025-26 BCTEA Approved]]-Table2[[#This Row],[2024-25 BCTEA To/from Carryover]]</f>
        <v>77497</v>
      </c>
      <c r="T52" s="5">
        <v>41676</v>
      </c>
      <c r="U52" s="5">
        <v>13493</v>
      </c>
      <c r="V52" s="5">
        <f>Table2[[#This Row],[2024-25 CDS Payment]]-W52</f>
        <v>-28183</v>
      </c>
      <c r="W52" s="5">
        <f>Table2[[#This Row],[2025-26 EX Allocation]]-Table2[[#This Row],[2023-24 Carryover Extracurricular repurposed repurposed for Extracurricular]]</f>
        <v>41676</v>
      </c>
      <c r="X52" s="5">
        <f>SUM(Table2[[#This Row],[Part of 2024-25 CDS Payment that is To/From]:[Part of 2024-25 CDS Payment that is Extracurricular]])-Table2[[#This Row],[2024-25 CDS Payment]]</f>
        <v>0</v>
      </c>
      <c r="Y52" s="5">
        <v>124137</v>
      </c>
      <c r="Z52" s="5">
        <v>55862</v>
      </c>
      <c r="AA52" s="5"/>
      <c r="AB5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109951</v>
      </c>
      <c r="AC52" s="5">
        <v>0</v>
      </c>
      <c r="AD52" s="5">
        <f>ROUND(IF(Table2[[#This Row],[2025-26 BCTEA Approved]]-Table2[[#This Row],[2024-25 BCTEA To/from Carryover]]-Table2[[#This Row],[ex Repurposed to TO/FROM - FOR REF. DNU]]&gt;0,Table2[[#This Row],[2025-26 BCTEA Approved]]-Table2[[#This Row],[2024-25 BCTEA To/from Carryover]]-Table2[[#This Row],[ex Repurposed to TO/FROM - FOR REF. DNU]], "$0"),0)</f>
        <v>77497</v>
      </c>
      <c r="AE52" s="118">
        <v>284</v>
      </c>
      <c r="AF52" s="118">
        <v>102</v>
      </c>
      <c r="AG52" s="5">
        <v>671</v>
      </c>
      <c r="AH52" s="5">
        <v>84</v>
      </c>
      <c r="AI52" s="5">
        <v>857</v>
      </c>
      <c r="AJ52" s="5">
        <f>Table2[[#This Row],[2025-26 FN_SR]]*Table2[[#This Row],[Student Count as per 2022-23 Nominal Roll]]</f>
        <v>243388</v>
      </c>
    </row>
    <row r="53" spans="1:36" x14ac:dyDescent="0.3">
      <c r="A53">
        <v>79</v>
      </c>
      <c r="B53" t="s">
        <v>293</v>
      </c>
      <c r="D53" s="121">
        <v>4314</v>
      </c>
      <c r="E53" s="121">
        <v>608</v>
      </c>
      <c r="G53" s="124">
        <v>291000</v>
      </c>
      <c r="H53" s="115">
        <v>2979447</v>
      </c>
      <c r="I53" s="5">
        <v>101136051</v>
      </c>
      <c r="J53" s="5">
        <v>283524</v>
      </c>
      <c r="K53" s="5">
        <v>2092311</v>
      </c>
      <c r="L53" s="5">
        <v>574000</v>
      </c>
      <c r="M53" s="115"/>
      <c r="N53" s="115">
        <v>2411</v>
      </c>
      <c r="O53" s="5">
        <v>0</v>
      </c>
      <c r="P53" s="5"/>
      <c r="Q53" s="5">
        <f>Table2[[#This Row],[2024-25 BCTEA To/from Carryover]]+Table2[[#This Row],[2024-25 BCTEA EX Carryover - REMAINING AFTER REPURPOSING]]</f>
        <v>2411</v>
      </c>
      <c r="R53" s="5">
        <v>471491</v>
      </c>
      <c r="S53" s="5">
        <f>Table2[[#This Row],[2025-26 BCTEA Approved]]-Table2[[#This Row],[2024-25 BCTEA To/from Carryover]]</f>
        <v>469080</v>
      </c>
      <c r="T53" s="5">
        <v>85403</v>
      </c>
      <c r="U53" s="5">
        <v>303693</v>
      </c>
      <c r="V53" s="5">
        <f>Table2[[#This Row],[2024-25 CDS Payment]]-W53</f>
        <v>218290</v>
      </c>
      <c r="W53" s="5">
        <f>Table2[[#This Row],[2025-26 EX Allocation]]-Table2[[#This Row],[2023-24 Carryover Extracurricular repurposed repurposed for Extracurricular]]</f>
        <v>85403</v>
      </c>
      <c r="X53" s="5">
        <f>SUM(Table2[[#This Row],[Part of 2024-25 CDS Payment that is To/From]:[Part of 2024-25 CDS Payment that is Extracurricular]])-Table2[[#This Row],[2024-25 CDS Payment]]</f>
        <v>0</v>
      </c>
      <c r="Y53" s="5">
        <v>245709</v>
      </c>
      <c r="Z53" s="5">
        <v>140710</v>
      </c>
      <c r="AA53" s="5"/>
      <c r="AB5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190402</v>
      </c>
      <c r="AC53" s="5">
        <v>0</v>
      </c>
      <c r="AD53" s="5">
        <f>ROUND(IF(Table2[[#This Row],[2025-26 BCTEA Approved]]-Table2[[#This Row],[2024-25 BCTEA To/from Carryover]]-Table2[[#This Row],[ex Repurposed to TO/FROM - FOR REF. DNU]]&gt;0,Table2[[#This Row],[2025-26 BCTEA Approved]]-Table2[[#This Row],[2024-25 BCTEA To/from Carryover]]-Table2[[#This Row],[ex Repurposed to TO/FROM - FOR REF. DNU]], "$0"),0)</f>
        <v>469080</v>
      </c>
      <c r="AE53" s="118">
        <v>582</v>
      </c>
      <c r="AF53" s="118">
        <v>34</v>
      </c>
      <c r="AG53" s="5">
        <v>254</v>
      </c>
      <c r="AH53" s="5">
        <v>70</v>
      </c>
      <c r="AI53" s="5">
        <v>358</v>
      </c>
      <c r="AJ53" s="5">
        <f>Table2[[#This Row],[2025-26 FN_SR]]*Table2[[#This Row],[Student Count as per 2022-23 Nominal Roll]]</f>
        <v>208356</v>
      </c>
    </row>
    <row r="54" spans="1:36" x14ac:dyDescent="0.3">
      <c r="A54">
        <v>81</v>
      </c>
      <c r="B54" t="s">
        <v>294</v>
      </c>
      <c r="D54" s="121">
        <v>371</v>
      </c>
      <c r="E54" s="121">
        <v>38</v>
      </c>
      <c r="G54" s="124">
        <v>158867</v>
      </c>
      <c r="H54" s="115">
        <v>407196</v>
      </c>
      <c r="I54" s="5">
        <v>10721535</v>
      </c>
      <c r="J54" s="5">
        <v>32744</v>
      </c>
      <c r="K54" s="5">
        <v>165582</v>
      </c>
      <c r="L54" s="5">
        <v>42000</v>
      </c>
      <c r="M54" s="115"/>
      <c r="N54" s="115">
        <v>0</v>
      </c>
      <c r="O54" s="5">
        <v>0</v>
      </c>
      <c r="P54" s="5"/>
      <c r="Q54" s="5">
        <f>Table2[[#This Row],[2024-25 BCTEA To/from Carryover]]+Table2[[#This Row],[2024-25 BCTEA EX Carryover - REMAINING AFTER REPURPOSING]]</f>
        <v>0</v>
      </c>
      <c r="R54" s="5">
        <v>149982</v>
      </c>
      <c r="S54" s="5">
        <f>Table2[[#This Row],[2025-26 BCTEA Approved]]-Table2[[#This Row],[2024-25 BCTEA To/from Carryover]]</f>
        <v>149982</v>
      </c>
      <c r="T54" s="5">
        <v>6019</v>
      </c>
      <c r="U54" s="5">
        <v>147767</v>
      </c>
      <c r="V54" s="5">
        <f>Table2[[#This Row],[2024-25 CDS Payment]]-W54</f>
        <v>141748</v>
      </c>
      <c r="W54" s="5">
        <f>Table2[[#This Row],[2025-26 EX Allocation]]-Table2[[#This Row],[2023-24 Carryover Extracurricular repurposed repurposed for Extracurricular]]</f>
        <v>6019</v>
      </c>
      <c r="X54" s="5">
        <f>SUM(Table2[[#This Row],[Part of 2024-25 CDS Payment that is To/From]:[Part of 2024-25 CDS Payment that is Extracurricular]])-Table2[[#This Row],[2024-25 CDS Payment]]</f>
        <v>0</v>
      </c>
      <c r="Y54" s="5">
        <v>20963</v>
      </c>
      <c r="Z54" s="5">
        <v>9433</v>
      </c>
      <c r="AA54" s="5"/>
      <c r="AB54"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17549</v>
      </c>
      <c r="AC54" s="5">
        <v>0</v>
      </c>
      <c r="AD54" s="5">
        <f>ROUND(IF(Table2[[#This Row],[2025-26 BCTEA Approved]]-Table2[[#This Row],[2024-25 BCTEA To/from Carryover]]-Table2[[#This Row],[ex Repurposed to TO/FROM - FOR REF. DNU]]&gt;0,Table2[[#This Row],[2025-26 BCTEA Approved]]-Table2[[#This Row],[2024-25 BCTEA To/from Carryover]]-Table2[[#This Row],[ex Repurposed to TO/FROM - FOR REF. DNU]], "$0"),0)</f>
        <v>149982</v>
      </c>
      <c r="AE54" s="118">
        <v>41</v>
      </c>
      <c r="AF54" s="118">
        <v>56</v>
      </c>
      <c r="AG54" s="5">
        <v>284</v>
      </c>
      <c r="AH54" s="5">
        <v>72</v>
      </c>
      <c r="AI54" s="5">
        <v>412</v>
      </c>
      <c r="AJ54" s="5">
        <f>Table2[[#This Row],[2025-26 FN_SR]]*Table2[[#This Row],[Student Count as per 2022-23 Nominal Roll]]</f>
        <v>16892</v>
      </c>
    </row>
    <row r="55" spans="1:36" x14ac:dyDescent="0.3">
      <c r="A55">
        <v>82</v>
      </c>
      <c r="B55" t="s">
        <v>295</v>
      </c>
      <c r="D55" s="121">
        <v>1471</v>
      </c>
      <c r="E55" s="121">
        <v>589</v>
      </c>
      <c r="G55" s="124">
        <v>1040074</v>
      </c>
      <c r="H55" s="115">
        <v>2640547</v>
      </c>
      <c r="I55" s="5">
        <v>59930207</v>
      </c>
      <c r="J55" s="5">
        <v>557786</v>
      </c>
      <c r="K55" s="5">
        <v>3139707</v>
      </c>
      <c r="L55" s="5">
        <v>253000</v>
      </c>
      <c r="M55" s="115"/>
      <c r="N55" s="115">
        <v>0</v>
      </c>
      <c r="O55" s="5">
        <v>41230</v>
      </c>
      <c r="P55" s="5"/>
      <c r="Q55" s="5">
        <f>Table2[[#This Row],[2024-25 BCTEA To/from Carryover]]+Table2[[#This Row],[2024-25 BCTEA EX Carryover - REMAINING AFTER REPURPOSING]]</f>
        <v>41230</v>
      </c>
      <c r="R55" s="5">
        <v>79680</v>
      </c>
      <c r="S55" s="5">
        <f>Table2[[#This Row],[2025-26 BCTEA Approved]]-Table2[[#This Row],[2024-25 BCTEA To/from Carryover]]</f>
        <v>79680</v>
      </c>
      <c r="T55" s="5">
        <v>79680</v>
      </c>
      <c r="U55" s="5">
        <v>0</v>
      </c>
      <c r="V55" s="5">
        <f>Table2[[#This Row],[2024-25 CDS Payment]]-W55</f>
        <v>-79680</v>
      </c>
      <c r="W55" s="5">
        <f>Table2[[#This Row],[2025-26 EX Allocation]]-Table2[[#This Row],[2023-24 Carryover Extracurricular repurposed repurposed for Extracurricular]]</f>
        <v>79680</v>
      </c>
      <c r="X55" s="5">
        <f>SUM(Table2[[#This Row],[Part of 2024-25 CDS Payment that is To/From]:[Part of 2024-25 CDS Payment that is Extracurricular]])-Table2[[#This Row],[2024-25 CDS Payment]]</f>
        <v>0</v>
      </c>
      <c r="Y55" s="5">
        <v>139140</v>
      </c>
      <c r="Z55" s="5"/>
      <c r="AA55" s="5"/>
      <c r="AB55"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218820</v>
      </c>
      <c r="AC55" s="5">
        <v>0</v>
      </c>
      <c r="AD55" s="5">
        <f>ROUND(IF(Table2[[#This Row],[2025-26 BCTEA Approved]]-Table2[[#This Row],[2024-25 BCTEA To/from Carryover]]-Table2[[#This Row],[ex Repurposed to TO/FROM - FOR REF. DNU]]&gt;0,Table2[[#This Row],[2025-26 BCTEA Approved]]-Table2[[#This Row],[2024-25 BCTEA To/from Carryover]]-Table2[[#This Row],[ex Repurposed to TO/FROM - FOR REF. DNU]], "$0"),0)</f>
        <v>79680</v>
      </c>
      <c r="AE55" s="118">
        <v>543</v>
      </c>
      <c r="AF55" s="118">
        <v>134</v>
      </c>
      <c r="AG55" s="5">
        <v>753</v>
      </c>
      <c r="AH55" s="5">
        <v>61</v>
      </c>
      <c r="AI55" s="5">
        <v>948</v>
      </c>
      <c r="AJ55" s="5">
        <f>Table2[[#This Row],[2025-26 FN_SR]]*Table2[[#This Row],[Student Count as per 2022-23 Nominal Roll]]</f>
        <v>514764</v>
      </c>
    </row>
    <row r="56" spans="1:36" x14ac:dyDescent="0.3">
      <c r="A56">
        <v>83</v>
      </c>
      <c r="B56" t="s">
        <v>296</v>
      </c>
      <c r="D56" s="121">
        <v>2797</v>
      </c>
      <c r="E56" s="121">
        <v>87</v>
      </c>
      <c r="G56" s="124">
        <v>122757</v>
      </c>
      <c r="H56" s="115">
        <v>3812396</v>
      </c>
      <c r="I56" s="5">
        <v>88452105</v>
      </c>
      <c r="J56" s="5">
        <v>561925</v>
      </c>
      <c r="K56" s="5">
        <v>4755432</v>
      </c>
      <c r="L56" s="5">
        <v>512000</v>
      </c>
      <c r="M56" s="115"/>
      <c r="N56" s="115">
        <v>0</v>
      </c>
      <c r="O56" s="5">
        <v>0</v>
      </c>
      <c r="P56" s="5"/>
      <c r="Q56" s="5">
        <f>Table2[[#This Row],[2024-25 BCTEA To/from Carryover]]+Table2[[#This Row],[2024-25 BCTEA EX Carryover - REMAINING AFTER REPURPOSING]]</f>
        <v>0</v>
      </c>
      <c r="R56" s="5">
        <v>44168</v>
      </c>
      <c r="S56" s="5">
        <f>Table2[[#This Row],[2025-26 BCTEA Approved]]-Table2[[#This Row],[2024-25 BCTEA To/from Carryover]]</f>
        <v>44168</v>
      </c>
      <c r="T56" s="5">
        <v>0</v>
      </c>
      <c r="U56" s="5">
        <v>6819</v>
      </c>
      <c r="V56" s="5">
        <f>Table2[[#This Row],[2024-25 CDS Payment]]-W56</f>
        <v>22523</v>
      </c>
      <c r="W56" s="5">
        <f>Table2[[#This Row],[2025-26 EX Allocation]]-Table2[[#This Row],[2023-24 Carryover Extracurricular repurposed repurposed for Extracurricular]]</f>
        <v>-15704</v>
      </c>
      <c r="X56" s="5">
        <f>SUM(Table2[[#This Row],[Part of 2024-25 CDS Payment that is To/From]:[Part of 2024-25 CDS Payment that is Extracurricular]])-Table2[[#This Row],[2024-25 CDS Payment]]</f>
        <v>0</v>
      </c>
      <c r="Y56" s="5">
        <v>59807</v>
      </c>
      <c r="Z56" s="5">
        <v>14911</v>
      </c>
      <c r="AA56" s="5">
        <v>15704</v>
      </c>
      <c r="AB56"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29192</v>
      </c>
      <c r="AC56" s="5">
        <v>0</v>
      </c>
      <c r="AD56" s="5">
        <f>ROUND(IF(Table2[[#This Row],[2025-26 BCTEA Approved]]-Table2[[#This Row],[2024-25 BCTEA To/from Carryover]]-Table2[[#This Row],[ex Repurposed to TO/FROM - FOR REF. DNU]]&gt;0,Table2[[#This Row],[2025-26 BCTEA Approved]]-Table2[[#This Row],[2024-25 BCTEA To/from Carryover]]-Table2[[#This Row],[ex Repurposed to TO/FROM - FOR REF. DNU]], "$0"),0)</f>
        <v>44168</v>
      </c>
      <c r="AE56" s="118">
        <v>107</v>
      </c>
      <c r="AF56" s="118">
        <v>84</v>
      </c>
      <c r="AG56" s="5">
        <v>707</v>
      </c>
      <c r="AH56" s="5">
        <v>76</v>
      </c>
      <c r="AI56" s="5">
        <v>867</v>
      </c>
      <c r="AJ56" s="5">
        <f>Table2[[#This Row],[2025-26 FN_SR]]*Table2[[#This Row],[Student Count as per 2022-23 Nominal Roll]]</f>
        <v>92769</v>
      </c>
    </row>
    <row r="57" spans="1:36" x14ac:dyDescent="0.3">
      <c r="A57">
        <v>84</v>
      </c>
      <c r="B57" t="s">
        <v>297</v>
      </c>
      <c r="D57" s="121">
        <v>91</v>
      </c>
      <c r="E57" s="121">
        <v>91</v>
      </c>
      <c r="G57" s="124">
        <v>133593</v>
      </c>
      <c r="H57" s="115">
        <v>134493</v>
      </c>
      <c r="I57" s="5">
        <v>10118867</v>
      </c>
      <c r="J57" s="5">
        <v>57593</v>
      </c>
      <c r="K57" s="5">
        <v>295437</v>
      </c>
      <c r="L57" s="5">
        <v>25000</v>
      </c>
      <c r="M57" s="115"/>
      <c r="N57" s="115">
        <v>0</v>
      </c>
      <c r="O57" s="5">
        <v>0</v>
      </c>
      <c r="P57" s="5"/>
      <c r="Q57" s="5">
        <f>Table2[[#This Row],[2024-25 BCTEA To/from Carryover]]+Table2[[#This Row],[2024-25 BCTEA EX Carryover - REMAINING AFTER REPURPOSING]]</f>
        <v>0</v>
      </c>
      <c r="R57" s="5">
        <v>12475</v>
      </c>
      <c r="S57" s="5">
        <f>Table2[[#This Row],[2025-26 BCTEA Approved]]-Table2[[#This Row],[2024-25 BCTEA To/from Carryover]]</f>
        <v>12475</v>
      </c>
      <c r="T57" s="5">
        <v>12475</v>
      </c>
      <c r="U57" s="5">
        <v>12475</v>
      </c>
      <c r="V57" s="5">
        <f>Table2[[#This Row],[2024-25 CDS Payment]]-W57</f>
        <v>0</v>
      </c>
      <c r="W57" s="5">
        <f>Table2[[#This Row],[2025-26 EX Allocation]]-Table2[[#This Row],[2023-24 Carryover Extracurricular repurposed repurposed for Extracurricular]]</f>
        <v>12475</v>
      </c>
      <c r="X57" s="5">
        <f>SUM(Table2[[#This Row],[Part of 2024-25 CDS Payment that is To/From]:[Part of 2024-25 CDS Payment that is Extracurricular]])-Table2[[#This Row],[2024-25 CDS Payment]]</f>
        <v>0</v>
      </c>
      <c r="Y57" s="5">
        <v>0</v>
      </c>
      <c r="Z57" s="5"/>
      <c r="AA57" s="5"/>
      <c r="AB57"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12475</v>
      </c>
      <c r="AC57" s="5">
        <v>0</v>
      </c>
      <c r="AD57" s="5">
        <f>ROUND(IF(Table2[[#This Row],[2025-26 BCTEA Approved]]-Table2[[#This Row],[2024-25 BCTEA To/from Carryover]]-Table2[[#This Row],[ex Repurposed to TO/FROM - FOR REF. DNU]]&gt;0,Table2[[#This Row],[2025-26 BCTEA Approved]]-Table2[[#This Row],[2024-25 BCTEA To/from Carryover]]-Table2[[#This Row],[ex Repurposed to TO/FROM - FOR REF. DNU]], "$0"),0)</f>
        <v>12475</v>
      </c>
      <c r="AE57" s="118">
        <v>85</v>
      </c>
      <c r="AF57" s="118">
        <v>189</v>
      </c>
      <c r="AG57" s="5">
        <v>969</v>
      </c>
      <c r="AH57" s="5">
        <v>82</v>
      </c>
      <c r="AI57" s="5">
        <v>1240</v>
      </c>
      <c r="AJ57" s="5">
        <f>Table2[[#This Row],[2025-26 FN_SR]]*Table2[[#This Row],[Student Count as per 2022-23 Nominal Roll]]</f>
        <v>105400</v>
      </c>
    </row>
    <row r="58" spans="1:36" x14ac:dyDescent="0.3">
      <c r="A58">
        <v>85</v>
      </c>
      <c r="B58" t="s">
        <v>298</v>
      </c>
      <c r="D58" s="121">
        <v>810</v>
      </c>
      <c r="E58" s="121">
        <v>221</v>
      </c>
      <c r="G58" s="124">
        <v>181983</v>
      </c>
      <c r="H58" s="115">
        <v>653648</v>
      </c>
      <c r="I58" s="5">
        <v>21340267</v>
      </c>
      <c r="J58" s="5">
        <v>118179</v>
      </c>
      <c r="K58" s="5">
        <v>783251</v>
      </c>
      <c r="L58" s="5">
        <v>100000</v>
      </c>
      <c r="M58" s="115"/>
      <c r="N58" s="115">
        <v>0</v>
      </c>
      <c r="O58" s="5">
        <v>0</v>
      </c>
      <c r="P58" s="5"/>
      <c r="Q58" s="5">
        <f>Table2[[#This Row],[2024-25 BCTEA To/from Carryover]]+Table2[[#This Row],[2024-25 BCTEA EX Carryover - REMAINING AFTER REPURPOSING]]</f>
        <v>0</v>
      </c>
      <c r="R58" s="5">
        <v>71176</v>
      </c>
      <c r="S58" s="5">
        <f>Table2[[#This Row],[2025-26 BCTEA Approved]]-Table2[[#This Row],[2024-25 BCTEA To/from Carryover]]</f>
        <v>71176</v>
      </c>
      <c r="T58" s="5">
        <v>28616</v>
      </c>
      <c r="U58" s="5">
        <v>71176</v>
      </c>
      <c r="V58" s="5">
        <f>Table2[[#This Row],[2024-25 CDS Payment]]-W58</f>
        <v>42560</v>
      </c>
      <c r="W58" s="5">
        <f>Table2[[#This Row],[2025-26 EX Allocation]]-Table2[[#This Row],[2023-24 Carryover Extracurricular repurposed repurposed for Extracurricular]]</f>
        <v>28616</v>
      </c>
      <c r="X58" s="5">
        <f>SUM(Table2[[#This Row],[Part of 2024-25 CDS Payment that is To/From]:[Part of 2024-25 CDS Payment that is Extracurricular]])-Table2[[#This Row],[2024-25 CDS Payment]]</f>
        <v>0</v>
      </c>
      <c r="Y58" s="5">
        <v>0</v>
      </c>
      <c r="Z58" s="5"/>
      <c r="AA58" s="5"/>
      <c r="AB58"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28616</v>
      </c>
      <c r="AC58" s="5">
        <v>0</v>
      </c>
      <c r="AD58" s="5">
        <f>ROUND(IF(Table2[[#This Row],[2025-26 BCTEA Approved]]-Table2[[#This Row],[2024-25 BCTEA To/from Carryover]]-Table2[[#This Row],[ex Repurposed to TO/FROM - FOR REF. DNU]]&gt;0,Table2[[#This Row],[2025-26 BCTEA Approved]]-Table2[[#This Row],[2024-25 BCTEA To/from Carryover]]-Table2[[#This Row],[ex Repurposed to TO/FROM - FOR REF. DNU]], "$0"),0)</f>
        <v>71176</v>
      </c>
      <c r="AE58" s="118">
        <v>195</v>
      </c>
      <c r="AF58" s="118">
        <v>99</v>
      </c>
      <c r="AG58" s="5">
        <v>654</v>
      </c>
      <c r="AH58" s="5">
        <v>83</v>
      </c>
      <c r="AI58" s="5">
        <v>836</v>
      </c>
      <c r="AJ58" s="5">
        <f>Table2[[#This Row],[2025-26 FN_SR]]*Table2[[#This Row],[Student Count as per 2022-23 Nominal Roll]]</f>
        <v>163020</v>
      </c>
    </row>
    <row r="59" spans="1:36" x14ac:dyDescent="0.3">
      <c r="A59">
        <v>87</v>
      </c>
      <c r="B59" t="s">
        <v>299</v>
      </c>
      <c r="D59" s="121">
        <v>122</v>
      </c>
      <c r="E59" s="121">
        <v>95</v>
      </c>
      <c r="G59" s="124">
        <v>546979</v>
      </c>
      <c r="H59" s="115">
        <v>706316</v>
      </c>
      <c r="I59" s="5">
        <v>6627632</v>
      </c>
      <c r="J59" s="5">
        <v>51181</v>
      </c>
      <c r="K59" s="5">
        <v>282070</v>
      </c>
      <c r="L59" s="5">
        <v>14000</v>
      </c>
      <c r="M59" s="115"/>
      <c r="N59" s="115">
        <v>0</v>
      </c>
      <c r="O59" s="5">
        <v>0</v>
      </c>
      <c r="P59" s="5"/>
      <c r="Q59" s="5">
        <f>Table2[[#This Row],[2024-25 BCTEA To/from Carryover]]+Table2[[#This Row],[2024-25 BCTEA EX Carryover - REMAINING AFTER REPURPOSING]]</f>
        <v>0</v>
      </c>
      <c r="R59" s="5">
        <v>10421</v>
      </c>
      <c r="S59" s="5">
        <f>Table2[[#This Row],[2025-26 BCTEA Approved]]-Table2[[#This Row],[2024-25 BCTEA To/from Carryover]]</f>
        <v>10421</v>
      </c>
      <c r="T59" s="5">
        <v>10421</v>
      </c>
      <c r="U59" s="5">
        <v>10421</v>
      </c>
      <c r="V59" s="5">
        <f>Table2[[#This Row],[2024-25 CDS Payment]]-W59</f>
        <v>0</v>
      </c>
      <c r="W59" s="5">
        <f>Table2[[#This Row],[2025-26 EX Allocation]]-Table2[[#This Row],[2023-24 Carryover Extracurricular repurposed repurposed for Extracurricular]]</f>
        <v>10421</v>
      </c>
      <c r="X59" s="5">
        <f>SUM(Table2[[#This Row],[Part of 2024-25 CDS Payment that is To/From]:[Part of 2024-25 CDS Payment that is Extracurricular]])-Table2[[#This Row],[2024-25 CDS Payment]]</f>
        <v>0</v>
      </c>
      <c r="Y59" s="5">
        <v>0</v>
      </c>
      <c r="Z59" s="5"/>
      <c r="AA59" s="5"/>
      <c r="AB59"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10421</v>
      </c>
      <c r="AC59" s="5">
        <v>0</v>
      </c>
      <c r="AD59" s="5">
        <f>ROUND(IF(Table2[[#This Row],[2025-26 BCTEA Approved]]-Table2[[#This Row],[2024-25 BCTEA To/from Carryover]]-Table2[[#This Row],[ex Repurposed to TO/FROM - FOR REF. DNU]]&gt;0,Table2[[#This Row],[2025-26 BCTEA Approved]]-Table2[[#This Row],[2024-25 BCTEA To/from Carryover]]-Table2[[#This Row],[ex Repurposed to TO/FROM - FOR REF. DNU]], "$0"),0)</f>
        <v>10421</v>
      </c>
      <c r="AE59" s="118">
        <v>71</v>
      </c>
      <c r="AF59" s="118">
        <v>290</v>
      </c>
      <c r="AG59" s="5">
        <v>1597</v>
      </c>
      <c r="AH59" s="5">
        <v>79</v>
      </c>
      <c r="AI59" s="5">
        <v>1966</v>
      </c>
      <c r="AJ59" s="5">
        <f>Table2[[#This Row],[2025-26 FN_SR]]*Table2[[#This Row],[Student Count as per 2022-23 Nominal Roll]]</f>
        <v>139586</v>
      </c>
    </row>
    <row r="60" spans="1:36" x14ac:dyDescent="0.3">
      <c r="A60">
        <v>91</v>
      </c>
      <c r="B60" t="s">
        <v>300</v>
      </c>
      <c r="D60" s="121">
        <v>1621</v>
      </c>
      <c r="E60" s="121">
        <v>286</v>
      </c>
      <c r="G60" s="124">
        <v>614369</v>
      </c>
      <c r="H60" s="115">
        <v>2882595</v>
      </c>
      <c r="I60" s="5">
        <v>60785586</v>
      </c>
      <c r="J60" s="5">
        <v>503247</v>
      </c>
      <c r="K60" s="5">
        <v>3654679</v>
      </c>
      <c r="L60" s="5">
        <v>507000</v>
      </c>
      <c r="M60" s="115"/>
      <c r="N60" s="115">
        <v>16823</v>
      </c>
      <c r="O60" s="5">
        <v>0</v>
      </c>
      <c r="P60" s="5"/>
      <c r="Q60" s="5">
        <f>Table2[[#This Row],[2024-25 BCTEA To/from Carryover]]+Table2[[#This Row],[2024-25 BCTEA EX Carryover - REMAINING AFTER REPURPOSING]]</f>
        <v>16823</v>
      </c>
      <c r="R60" s="5">
        <v>175283</v>
      </c>
      <c r="S60" s="5">
        <f>Table2[[#This Row],[2025-26 BCTEA Approved]]-Table2[[#This Row],[2024-25 BCTEA To/from Carryover]]</f>
        <v>158460</v>
      </c>
      <c r="T60" s="5">
        <v>61925</v>
      </c>
      <c r="U60" s="5">
        <v>164558</v>
      </c>
      <c r="V60" s="5">
        <f>Table2[[#This Row],[2024-25 CDS Payment]]-W60</f>
        <v>102633</v>
      </c>
      <c r="W60" s="5">
        <f>Table2[[#This Row],[2025-26 EX Allocation]]-Table2[[#This Row],[2023-24 Carryover Extracurricular repurposed repurposed for Extracurricular]]</f>
        <v>61925</v>
      </c>
      <c r="X60" s="5">
        <f>SUM(Table2[[#This Row],[Part of 2024-25 CDS Payment that is To/From]:[Part of 2024-25 CDS Payment that is Extracurricular]])-Table2[[#This Row],[2024-25 CDS Payment]]</f>
        <v>0</v>
      </c>
      <c r="Y60" s="5">
        <v>0</v>
      </c>
      <c r="Z60" s="5"/>
      <c r="AA60" s="5"/>
      <c r="AB60"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61925</v>
      </c>
      <c r="AC60" s="5">
        <v>0</v>
      </c>
      <c r="AD60" s="5">
        <f>ROUND(IF(Table2[[#This Row],[2025-26 BCTEA Approved]]-Table2[[#This Row],[2024-25 BCTEA To/from Carryover]]-Table2[[#This Row],[ex Repurposed to TO/FROM - FOR REF. DNU]]&gt;0,Table2[[#This Row],[2025-26 BCTEA Approved]]-Table2[[#This Row],[2024-25 BCTEA To/from Carryover]]-Table2[[#This Row],[ex Repurposed to TO/FROM - FOR REF. DNU]], "$0"),0)</f>
        <v>158460</v>
      </c>
      <c r="AE60" s="118">
        <v>422</v>
      </c>
      <c r="AF60" s="118">
        <v>147</v>
      </c>
      <c r="AG60" s="5">
        <v>1071</v>
      </c>
      <c r="AH60" s="5">
        <v>149</v>
      </c>
      <c r="AI60" s="5">
        <v>1367</v>
      </c>
      <c r="AJ60" s="5">
        <f>Table2[[#This Row],[2025-26 FN_SR]]*Table2[[#This Row],[Student Count as per 2022-23 Nominal Roll]]</f>
        <v>576874</v>
      </c>
    </row>
    <row r="61" spans="1:36" x14ac:dyDescent="0.3">
      <c r="A61">
        <v>92</v>
      </c>
      <c r="B61" t="s">
        <v>301</v>
      </c>
      <c r="D61" s="122"/>
      <c r="E61" s="122"/>
      <c r="G61" s="124"/>
      <c r="H61" s="115">
        <v>391896</v>
      </c>
      <c r="I61" s="5">
        <v>9224183</v>
      </c>
      <c r="J61" s="5">
        <v>130091</v>
      </c>
      <c r="K61" s="5">
        <v>769223</v>
      </c>
      <c r="L61" s="5">
        <v>10000</v>
      </c>
      <c r="M61" s="115"/>
      <c r="N61" s="115">
        <v>0</v>
      </c>
      <c r="O61" s="5">
        <f>Table2[[#This Row],[2023-24 BCTEA Extracurricular Carryover prior to repurposing (confimred amount)]]-(Table2[[#This Row],[2023-24 Carryover Extracurricular repurposed repurposed for to/from]]+Table2[[#This Row],[2023-24 Carryover Extracurricular repurposed repurposed for Extracurricular]])</f>
        <v>0</v>
      </c>
      <c r="P61" s="5"/>
      <c r="Q61" s="5">
        <f>Table2[[#This Row],[2024-25 BCTEA To/from Carryover]]+Table2[[#This Row],[2024-25 BCTEA EX Carryover - REMAINING AFTER REPURPOSING]]</f>
        <v>0</v>
      </c>
      <c r="R61" s="5">
        <v>0</v>
      </c>
      <c r="S61" s="5">
        <f>Table2[[#This Row],[2025-26 BCTEA Approved]]-Table2[[#This Row],[2024-25 BCTEA To/from Carryover]]</f>
        <v>0</v>
      </c>
      <c r="T61" s="5">
        <v>0</v>
      </c>
      <c r="U61" s="5">
        <v>0</v>
      </c>
      <c r="V61" s="5">
        <f>Table2[[#This Row],[2024-25 CDS Payment]]-W61</f>
        <v>0</v>
      </c>
      <c r="W61" s="5">
        <f>Table2[[#This Row],[2025-26 EX Allocation]]-Table2[[#This Row],[2023-24 Carryover Extracurricular repurposed repurposed for Extracurricular]]</f>
        <v>0</v>
      </c>
      <c r="X61" s="5">
        <f>SUM(Table2[[#This Row],[Part of 2024-25 CDS Payment that is To/From]:[Part of 2024-25 CDS Payment that is Extracurricular]])-Table2[[#This Row],[2024-25 CDS Payment]]</f>
        <v>0</v>
      </c>
      <c r="Y61" s="5"/>
      <c r="Z61" s="5"/>
      <c r="AA61" s="5"/>
      <c r="AB61"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61" s="5">
        <v>0</v>
      </c>
      <c r="AD61"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61" s="118"/>
      <c r="AF61" s="118">
        <v>336</v>
      </c>
      <c r="AG61" s="5">
        <v>1984</v>
      </c>
      <c r="AH61" s="5">
        <v>26</v>
      </c>
      <c r="AI61" s="5">
        <v>2346</v>
      </c>
      <c r="AJ61" s="5">
        <f>Table2[[#This Row],[2025-26 FN_SR]]*Table2[[#This Row],[Student Count as per 2022-23 Nominal Roll]]</f>
        <v>0</v>
      </c>
    </row>
    <row r="62" spans="1:36" x14ac:dyDescent="0.3">
      <c r="A62">
        <v>93</v>
      </c>
      <c r="B62" t="s">
        <v>302</v>
      </c>
      <c r="D62" s="123">
        <v>4490</v>
      </c>
      <c r="E62" s="123">
        <v>1</v>
      </c>
      <c r="F62" s="123"/>
      <c r="G62" s="125">
        <v>1874</v>
      </c>
      <c r="H62" s="115">
        <v>10893539</v>
      </c>
      <c r="I62" s="5">
        <v>111713179</v>
      </c>
      <c r="J62" s="5">
        <v>750415</v>
      </c>
      <c r="K62" s="5">
        <v>7658717</v>
      </c>
      <c r="L62" s="5">
        <v>228000</v>
      </c>
      <c r="M62" s="115"/>
      <c r="N62" s="115">
        <v>0</v>
      </c>
      <c r="O62" s="5">
        <f>Table2[[#This Row],[2023-24 BCTEA Extracurricular Carryover prior to repurposing (confimred amount)]]-(Table2[[#This Row],[2023-24 Carryover Extracurricular repurposed repurposed for to/from]]+Table2[[#This Row],[2023-24 Carryover Extracurricular repurposed repurposed for Extracurricular]])</f>
        <v>0</v>
      </c>
      <c r="P62" s="5"/>
      <c r="Q62" s="5">
        <f>Table2[[#This Row],[2024-25 BCTEA To/from Carryover]]+Table2[[#This Row],[2024-25 BCTEA EX Carryover - REMAINING AFTER REPURPOSING]]</f>
        <v>0</v>
      </c>
      <c r="R62" s="5">
        <v>0</v>
      </c>
      <c r="S62" s="5">
        <f>Table2[[#This Row],[2025-26 BCTEA Approved]]-Table2[[#This Row],[2024-25 BCTEA To/from Carryover]]</f>
        <v>0</v>
      </c>
      <c r="T62" s="5">
        <v>0</v>
      </c>
      <c r="U62" s="5">
        <v>0</v>
      </c>
      <c r="V62" s="5">
        <f>Table2[[#This Row],[2024-25 CDS Payment]]-W62</f>
        <v>0</v>
      </c>
      <c r="W62" s="5">
        <f>Table2[[#This Row],[2025-26 EX Allocation]]-Table2[[#This Row],[2023-24 Carryover Extracurricular repurposed repurposed for Extracurricular]]</f>
        <v>0</v>
      </c>
      <c r="X62" s="5">
        <f>SUM(Table2[[#This Row],[Part of 2024-25 CDS Payment that is To/From]:[Part of 2024-25 CDS Payment that is Extracurricular]])-Table2[[#This Row],[2024-25 CDS Payment]]</f>
        <v>0</v>
      </c>
      <c r="Y62" s="5">
        <v>0</v>
      </c>
      <c r="Z62" s="5"/>
      <c r="AA62" s="5"/>
      <c r="AB62"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62" s="5">
        <v>0</v>
      </c>
      <c r="AD62" s="5">
        <f>ROUND(IF(Table2[[#This Row],[2025-26 BCTEA Approved]]-Table2[[#This Row],[2024-25 BCTEA To/from Carryover]]-Table2[[#This Row],[ex Repurposed to TO/FROM - FOR REF. DNU]]&gt;0,Table2[[#This Row],[2025-26 BCTEA Approved]]-Table2[[#This Row],[2024-25 BCTEA To/from Carryover]]-Table2[[#This Row],[ex Repurposed to TO/FROM - FOR REF. DNU]], "$0"),0)</f>
        <v>0</v>
      </c>
      <c r="AE62" s="118">
        <v>2</v>
      </c>
      <c r="AF62" s="118">
        <v>127</v>
      </c>
      <c r="AG62" s="5">
        <v>1293</v>
      </c>
      <c r="AH62" s="5">
        <v>38</v>
      </c>
      <c r="AI62" s="5">
        <v>1458</v>
      </c>
      <c r="AJ62" s="5">
        <f>Table2[[#This Row],[2025-26 FN_SR]]*Table2[[#This Row],[Student Count as per 2022-23 Nominal Roll]]</f>
        <v>2916</v>
      </c>
    </row>
    <row r="63" spans="1:36" x14ac:dyDescent="0.3">
      <c r="G63" s="124"/>
      <c r="H63" s="115"/>
      <c r="I63" s="115"/>
      <c r="J63" s="115"/>
      <c r="K63" s="115"/>
      <c r="L63" s="115"/>
      <c r="M63" s="115"/>
      <c r="N63" s="115"/>
      <c r="O63" s="5">
        <f>Table2[[#This Row],[2023-24 BCTEA Extracurricular Carryover prior to repurposing (confimred amount)]]-(Table2[[#This Row],[2023-24 Carryover Extracurricular repurposed repurposed for to/from]]+Table2[[#This Row],[2023-24 Carryover Extracurricular repurposed repurposed for Extracurricular]])</f>
        <v>0</v>
      </c>
      <c r="P63" s="5"/>
      <c r="Q63" s="5">
        <f>Table2[[#This Row],[2024-25 BCTEA To/from Carryover]]+Table2[[#This Row],[2024-25 BCTEA EX Carryover - REMAINING AFTER REPURPOSING]]</f>
        <v>0</v>
      </c>
      <c r="R63" s="5">
        <f>SUM(R3:R62)</f>
        <v>5197306</v>
      </c>
      <c r="S63" s="5">
        <f>Table2[[#This Row],[2025-26 BCTEA Approved]]-Table2[[#This Row],[2024-25 BCTEA To/from Carryover]]</f>
        <v>5197306</v>
      </c>
      <c r="T63" s="5">
        <v>0</v>
      </c>
      <c r="U63" s="5"/>
      <c r="V63" s="5">
        <f>Table2[[#This Row],[2024-25 CDS Payment]]-W63</f>
        <v>0</v>
      </c>
      <c r="W63" s="5">
        <f>Table2[[#This Row],[2025-26 EX Allocation]]-Table2[[#This Row],[2023-24 Carryover Extracurricular repurposed repurposed for Extracurricular]]</f>
        <v>0</v>
      </c>
      <c r="X63" s="5">
        <f>SUM(Table2[[#This Row],[Part of 2024-25 CDS Payment that is To/From]:[Part of 2024-25 CDS Payment that is Extracurricular]])-Table2[[#This Row],[2024-25 CDS Payment]]</f>
        <v>0</v>
      </c>
      <c r="Y63" s="5"/>
      <c r="Z63" s="5"/>
      <c r="AA63" s="5"/>
      <c r="AB63" s="5">
        <f>Table2[[#This Row],[2023-24 BCTEA Extracurricular Carryover prior to repurposing (confimred amount)]]-(Table2[[#This Row],[2023-24 Carryover Extracurricular repurposed repurposed for to/from]]+Table2[[#This Row],[2023-24 Carryover Extracurricular repurposed repurposed for Extracurricular]])+Table2[[#This Row],[2025-26 EX Allocation]]</f>
        <v>0</v>
      </c>
      <c r="AC63" s="5"/>
      <c r="AD63" s="5">
        <f>ROUND(IF(Table2[[#This Row],[2025-26 BCTEA Approved]]-Table2[[#This Row],[2024-25 BCTEA To/from Carryover]]-Table2[[#This Row],[ex Repurposed to TO/FROM - FOR REF. DNU]]&gt;0,Table2[[#This Row],[2025-26 BCTEA Approved]]-Table2[[#This Row],[2024-25 BCTEA To/from Carryover]]-Table2[[#This Row],[ex Repurposed to TO/FROM - FOR REF. DNU]], "$0"),0)</f>
        <v>5197306</v>
      </c>
      <c r="AE63" s="118"/>
      <c r="AF63" s="5">
        <f t="shared" ref="AF63:AH63" si="0">SUM(AF3:AF62)</f>
        <v>5022</v>
      </c>
      <c r="AG63" s="5">
        <f t="shared" si="0"/>
        <v>32634</v>
      </c>
      <c r="AH63" s="5">
        <f t="shared" si="0"/>
        <v>4146</v>
      </c>
      <c r="AI63" s="5">
        <f>SUM(Table2[[#This Row],[2025-26 FN_STF]:[2025-26 FN_SSLF]])</f>
        <v>41802</v>
      </c>
      <c r="AJ63" s="5">
        <f>Table2[[#This Row],[2025-26 FN_SR]]*Table2[[#This Row],[Student Count as per 2022-23 Nominal Roll]]</f>
        <v>0</v>
      </c>
    </row>
    <row r="64" spans="1:36" x14ac:dyDescent="0.3">
      <c r="D64">
        <f>SUM(D30:D60, D3:D29)+D62</f>
        <v>80493</v>
      </c>
      <c r="E64">
        <f>SUM(E30:E62, E3:E29)</f>
        <v>6466</v>
      </c>
      <c r="F64">
        <f>SUM(F30:F60, F2:F28)</f>
        <v>0</v>
      </c>
      <c r="G64" s="156">
        <f>SUM(G30:G62, G3:G29)</f>
        <v>11501327</v>
      </c>
      <c r="H64" s="5">
        <f>SUM(H3:H62)</f>
        <v>129764551</v>
      </c>
      <c r="I64" s="5"/>
      <c r="J64" s="5"/>
      <c r="K64" s="5"/>
      <c r="L64" s="5"/>
      <c r="M64" s="5"/>
      <c r="N64" s="5">
        <f>SUM(N3:N62)</f>
        <v>335527</v>
      </c>
      <c r="O64" s="5">
        <f>SUM(O3:O62)</f>
        <v>57904</v>
      </c>
      <c r="P64" s="5"/>
      <c r="Q64" s="5"/>
      <c r="R64" s="5"/>
      <c r="S64" s="5"/>
      <c r="T64" s="5">
        <f>SUM(T3:T62)</f>
        <v>795462</v>
      </c>
      <c r="U64" s="5">
        <f>SUM(U3:U62)</f>
        <v>3800000</v>
      </c>
      <c r="V64" s="5"/>
      <c r="W64" s="5"/>
      <c r="X64" s="5"/>
      <c r="Y64" s="5"/>
      <c r="Z64" s="5"/>
      <c r="AA64" s="5"/>
      <c r="AB64" s="5"/>
      <c r="AC64" s="5"/>
      <c r="AD64" s="5"/>
      <c r="AE64" s="118"/>
      <c r="AF64" s="118"/>
      <c r="AG64" s="5"/>
      <c r="AH64" s="5"/>
      <c r="AI64" s="5"/>
    </row>
  </sheetData>
  <phoneticPr fontId="11"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B2C8-FBF5-440A-AA47-4A35AEF6593A}">
  <dimension ref="A1:C63"/>
  <sheetViews>
    <sheetView workbookViewId="0">
      <selection activeCell="C4" sqref="C4"/>
    </sheetView>
  </sheetViews>
  <sheetFormatPr defaultRowHeight="14.4" x14ac:dyDescent="0.3"/>
  <cols>
    <col min="1" max="1" width="13.6640625" customWidth="1"/>
    <col min="2" max="2" width="10.6640625" customWidth="1"/>
    <col min="3" max="3" width="11.33203125" bestFit="1" customWidth="1"/>
  </cols>
  <sheetData>
    <row r="1" spans="1:3" ht="72" x14ac:dyDescent="0.3">
      <c r="A1" s="126" t="s">
        <v>303</v>
      </c>
      <c r="B1" s="126" t="s">
        <v>304</v>
      </c>
    </row>
    <row r="2" spans="1:3" x14ac:dyDescent="0.3">
      <c r="A2" s="127">
        <v>39787</v>
      </c>
      <c r="B2" s="127">
        <v>0</v>
      </c>
      <c r="C2" s="129">
        <f>SUM(A2:B2)</f>
        <v>39787</v>
      </c>
    </row>
    <row r="3" spans="1:3" x14ac:dyDescent="0.3">
      <c r="A3" s="127">
        <v>6625</v>
      </c>
      <c r="B3" s="127"/>
      <c r="C3" s="129">
        <f t="shared" ref="C3:C62" si="0">SUM(A3:B3)</f>
        <v>6625</v>
      </c>
    </row>
    <row r="4" spans="1:3" x14ac:dyDescent="0.3">
      <c r="A4" s="127">
        <v>25686</v>
      </c>
      <c r="B4" s="127"/>
      <c r="C4" s="129">
        <f t="shared" si="0"/>
        <v>25686</v>
      </c>
    </row>
    <row r="5" spans="1:3" x14ac:dyDescent="0.3">
      <c r="A5" s="127"/>
      <c r="B5" s="127"/>
      <c r="C5" s="129">
        <f t="shared" si="0"/>
        <v>0</v>
      </c>
    </row>
    <row r="6" spans="1:3" x14ac:dyDescent="0.3">
      <c r="A6" s="127"/>
      <c r="B6" s="127"/>
      <c r="C6" s="129">
        <f t="shared" si="0"/>
        <v>0</v>
      </c>
    </row>
    <row r="7" spans="1:3" x14ac:dyDescent="0.3">
      <c r="A7" s="127"/>
      <c r="B7" s="127"/>
      <c r="C7" s="129">
        <f t="shared" si="0"/>
        <v>0</v>
      </c>
    </row>
    <row r="8" spans="1:3" x14ac:dyDescent="0.3">
      <c r="A8" s="127">
        <v>109008</v>
      </c>
      <c r="B8" s="127"/>
      <c r="C8" s="129">
        <f t="shared" si="0"/>
        <v>109008</v>
      </c>
    </row>
    <row r="9" spans="1:3" x14ac:dyDescent="0.3">
      <c r="A9" s="127">
        <v>0</v>
      </c>
      <c r="B9" s="127"/>
      <c r="C9" s="129">
        <f t="shared" si="0"/>
        <v>0</v>
      </c>
    </row>
    <row r="10" spans="1:3" x14ac:dyDescent="0.3">
      <c r="A10" s="127">
        <v>92918</v>
      </c>
      <c r="B10" s="127"/>
      <c r="C10" s="129">
        <f t="shared" si="0"/>
        <v>92918</v>
      </c>
    </row>
    <row r="11" spans="1:3" x14ac:dyDescent="0.3">
      <c r="A11" s="127">
        <v>173900</v>
      </c>
      <c r="B11" s="127"/>
      <c r="C11" s="129">
        <f t="shared" si="0"/>
        <v>173900</v>
      </c>
    </row>
    <row r="12" spans="1:3" x14ac:dyDescent="0.3">
      <c r="A12" s="127">
        <v>16570</v>
      </c>
      <c r="B12" s="127"/>
      <c r="C12" s="129">
        <f t="shared" si="0"/>
        <v>16570</v>
      </c>
    </row>
    <row r="13" spans="1:3" x14ac:dyDescent="0.3">
      <c r="A13" s="127">
        <v>12500</v>
      </c>
      <c r="B13" s="127"/>
      <c r="C13" s="129">
        <f t="shared" si="0"/>
        <v>12500</v>
      </c>
    </row>
    <row r="14" spans="1:3" x14ac:dyDescent="0.3">
      <c r="A14" s="127">
        <v>40348</v>
      </c>
      <c r="B14" s="127"/>
      <c r="C14" s="129">
        <f t="shared" si="0"/>
        <v>40348</v>
      </c>
    </row>
    <row r="15" spans="1:3" x14ac:dyDescent="0.3">
      <c r="A15" s="127">
        <v>93776</v>
      </c>
      <c r="B15" s="127"/>
      <c r="C15" s="129">
        <f t="shared" si="0"/>
        <v>93776</v>
      </c>
    </row>
    <row r="16" spans="1:3" x14ac:dyDescent="0.3">
      <c r="A16" s="127"/>
      <c r="B16" s="127"/>
      <c r="C16" s="129">
        <f t="shared" si="0"/>
        <v>0</v>
      </c>
    </row>
    <row r="17" spans="1:3" x14ac:dyDescent="0.3">
      <c r="A17" s="127"/>
      <c r="B17" s="127"/>
      <c r="C17" s="129">
        <f t="shared" si="0"/>
        <v>0</v>
      </c>
    </row>
    <row r="18" spans="1:3" x14ac:dyDescent="0.3">
      <c r="A18" s="127">
        <v>116887</v>
      </c>
      <c r="B18" s="127">
        <v>13663</v>
      </c>
      <c r="C18" s="129">
        <f t="shared" si="0"/>
        <v>130550</v>
      </c>
    </row>
    <row r="19" spans="1:3" x14ac:dyDescent="0.3">
      <c r="A19" s="127"/>
      <c r="B19" s="127"/>
      <c r="C19" s="129">
        <f t="shared" si="0"/>
        <v>0</v>
      </c>
    </row>
    <row r="20" spans="1:3" x14ac:dyDescent="0.3">
      <c r="A20" s="127"/>
      <c r="B20" s="127"/>
      <c r="C20" s="129">
        <f t="shared" si="0"/>
        <v>0</v>
      </c>
    </row>
    <row r="21" spans="1:3" x14ac:dyDescent="0.3">
      <c r="A21" s="127">
        <v>80498</v>
      </c>
      <c r="B21" s="127"/>
      <c r="C21" s="129">
        <f t="shared" si="0"/>
        <v>80498</v>
      </c>
    </row>
    <row r="22" spans="1:3" x14ac:dyDescent="0.3">
      <c r="A22" s="127">
        <v>64635</v>
      </c>
      <c r="B22" s="127"/>
      <c r="C22" s="129">
        <f t="shared" si="0"/>
        <v>64635</v>
      </c>
    </row>
    <row r="23" spans="1:3" x14ac:dyDescent="0.3">
      <c r="A23" s="127">
        <v>133279</v>
      </c>
      <c r="B23" s="127">
        <v>48672</v>
      </c>
      <c r="C23" s="129">
        <f t="shared" si="0"/>
        <v>181951</v>
      </c>
    </row>
    <row r="24" spans="1:3" x14ac:dyDescent="0.3">
      <c r="A24" s="127">
        <v>7449</v>
      </c>
      <c r="B24" s="127"/>
      <c r="C24" s="129">
        <f t="shared" si="0"/>
        <v>7449</v>
      </c>
    </row>
    <row r="25" spans="1:3" x14ac:dyDescent="0.3">
      <c r="A25" s="127"/>
      <c r="B25" s="127"/>
      <c r="C25" s="129">
        <f t="shared" si="0"/>
        <v>0</v>
      </c>
    </row>
    <row r="26" spans="1:3" x14ac:dyDescent="0.3">
      <c r="A26" s="127"/>
      <c r="B26" s="127"/>
      <c r="C26" s="129">
        <f t="shared" si="0"/>
        <v>0</v>
      </c>
    </row>
    <row r="27" spans="1:3" x14ac:dyDescent="0.3">
      <c r="A27" s="127">
        <v>214700</v>
      </c>
      <c r="B27" s="127"/>
      <c r="C27" s="129">
        <f t="shared" si="0"/>
        <v>214700</v>
      </c>
    </row>
    <row r="28" spans="1:3" x14ac:dyDescent="0.3">
      <c r="A28" s="127"/>
      <c r="B28" s="127"/>
      <c r="C28" s="129">
        <f t="shared" si="0"/>
        <v>0</v>
      </c>
    </row>
    <row r="29" spans="1:3" x14ac:dyDescent="0.3">
      <c r="A29" s="127">
        <v>53750</v>
      </c>
      <c r="B29" s="127"/>
      <c r="C29" s="129">
        <f t="shared" si="0"/>
        <v>53750</v>
      </c>
    </row>
    <row r="30" spans="1:3" x14ac:dyDescent="0.3">
      <c r="A30" s="127"/>
      <c r="B30" s="127"/>
      <c r="C30" s="129">
        <f t="shared" si="0"/>
        <v>0</v>
      </c>
    </row>
    <row r="31" spans="1:3" x14ac:dyDescent="0.3">
      <c r="A31" s="127">
        <v>261986</v>
      </c>
      <c r="B31" s="127"/>
      <c r="C31" s="129">
        <f t="shared" si="0"/>
        <v>261986</v>
      </c>
    </row>
    <row r="32" spans="1:3" x14ac:dyDescent="0.3">
      <c r="A32" s="127">
        <v>60904</v>
      </c>
      <c r="B32" s="127"/>
      <c r="C32" s="129">
        <f t="shared" si="0"/>
        <v>60904</v>
      </c>
    </row>
    <row r="33" spans="1:3" x14ac:dyDescent="0.3">
      <c r="A33" s="127">
        <v>89734</v>
      </c>
      <c r="B33" s="127"/>
      <c r="C33" s="129">
        <f t="shared" si="0"/>
        <v>89734</v>
      </c>
    </row>
    <row r="34" spans="1:3" x14ac:dyDescent="0.3">
      <c r="A34" s="127">
        <v>220431</v>
      </c>
      <c r="B34" s="127"/>
      <c r="C34" s="129">
        <f t="shared" si="0"/>
        <v>220431</v>
      </c>
    </row>
    <row r="35" spans="1:3" x14ac:dyDescent="0.3">
      <c r="A35" s="127">
        <v>5262</v>
      </c>
      <c r="B35" s="127"/>
      <c r="C35" s="129">
        <f t="shared" si="0"/>
        <v>5262</v>
      </c>
    </row>
    <row r="36" spans="1:3" x14ac:dyDescent="0.3">
      <c r="A36" s="127"/>
      <c r="B36" s="127"/>
      <c r="C36" s="129">
        <f t="shared" si="0"/>
        <v>0</v>
      </c>
    </row>
    <row r="37" spans="1:3" x14ac:dyDescent="0.3">
      <c r="A37" s="127">
        <v>208491</v>
      </c>
      <c r="B37" s="127"/>
      <c r="C37" s="129">
        <f t="shared" si="0"/>
        <v>208491</v>
      </c>
    </row>
    <row r="38" spans="1:3" x14ac:dyDescent="0.3">
      <c r="A38" s="127">
        <v>64150</v>
      </c>
      <c r="B38" s="127">
        <v>36125</v>
      </c>
      <c r="C38" s="129">
        <f t="shared" si="0"/>
        <v>100275</v>
      </c>
    </row>
    <row r="39" spans="1:3" x14ac:dyDescent="0.3">
      <c r="A39" s="127">
        <v>20000</v>
      </c>
      <c r="B39" s="127"/>
      <c r="C39" s="129">
        <f t="shared" si="0"/>
        <v>20000</v>
      </c>
    </row>
    <row r="40" spans="1:3" x14ac:dyDescent="0.3">
      <c r="A40" s="127">
        <v>108890</v>
      </c>
      <c r="B40" s="127"/>
      <c r="C40" s="129">
        <f t="shared" si="0"/>
        <v>108890</v>
      </c>
    </row>
    <row r="41" spans="1:3" x14ac:dyDescent="0.3">
      <c r="A41" s="127"/>
      <c r="B41" s="127"/>
      <c r="C41" s="129">
        <f t="shared" si="0"/>
        <v>0</v>
      </c>
    </row>
    <row r="42" spans="1:3" x14ac:dyDescent="0.3">
      <c r="A42" s="127">
        <v>60569</v>
      </c>
      <c r="B42" s="127"/>
      <c r="C42" s="129">
        <f t="shared" si="0"/>
        <v>60569</v>
      </c>
    </row>
    <row r="43" spans="1:3" x14ac:dyDescent="0.3">
      <c r="A43" s="127">
        <v>262677</v>
      </c>
      <c r="B43" s="127"/>
      <c r="C43" s="129">
        <f t="shared" si="0"/>
        <v>262677</v>
      </c>
    </row>
    <row r="44" spans="1:3" x14ac:dyDescent="0.3">
      <c r="A44" s="127">
        <v>135390</v>
      </c>
      <c r="B44" s="127"/>
      <c r="C44" s="129">
        <f t="shared" si="0"/>
        <v>135390</v>
      </c>
    </row>
    <row r="45" spans="1:3" x14ac:dyDescent="0.3">
      <c r="A45" s="127">
        <v>63232</v>
      </c>
      <c r="B45" s="127">
        <v>57165</v>
      </c>
      <c r="C45" s="129">
        <f t="shared" si="0"/>
        <v>120397</v>
      </c>
    </row>
    <row r="46" spans="1:3" x14ac:dyDescent="0.3">
      <c r="A46" s="127">
        <v>64400</v>
      </c>
      <c r="B46" s="127"/>
      <c r="C46" s="129">
        <f t="shared" si="0"/>
        <v>64400</v>
      </c>
    </row>
    <row r="47" spans="1:3" x14ac:dyDescent="0.3">
      <c r="A47" s="127">
        <v>110477</v>
      </c>
      <c r="B47" s="127">
        <v>8000</v>
      </c>
      <c r="C47" s="129">
        <f t="shared" si="0"/>
        <v>118477</v>
      </c>
    </row>
    <row r="48" spans="1:3" x14ac:dyDescent="0.3">
      <c r="A48" s="127">
        <v>100738</v>
      </c>
      <c r="B48" s="127"/>
      <c r="C48" s="129">
        <f t="shared" si="0"/>
        <v>100738</v>
      </c>
    </row>
    <row r="49" spans="1:3" x14ac:dyDescent="0.3">
      <c r="A49" s="127"/>
      <c r="B49" s="127"/>
      <c r="C49" s="129">
        <f t="shared" si="0"/>
        <v>0</v>
      </c>
    </row>
    <row r="50" spans="1:3" x14ac:dyDescent="0.3">
      <c r="A50" s="127"/>
      <c r="B50" s="127"/>
      <c r="C50" s="129">
        <f t="shared" si="0"/>
        <v>0</v>
      </c>
    </row>
    <row r="51" spans="1:3" x14ac:dyDescent="0.3">
      <c r="A51" s="127">
        <v>46350</v>
      </c>
      <c r="B51" s="127">
        <v>44311</v>
      </c>
      <c r="C51" s="129">
        <f t="shared" si="0"/>
        <v>90661</v>
      </c>
    </row>
    <row r="52" spans="1:3" x14ac:dyDescent="0.3">
      <c r="A52" s="127">
        <v>344098</v>
      </c>
      <c r="B52" s="127">
        <v>23821</v>
      </c>
      <c r="C52" s="129">
        <f t="shared" si="0"/>
        <v>367919</v>
      </c>
    </row>
    <row r="53" spans="1:3" x14ac:dyDescent="0.3">
      <c r="A53" s="127">
        <v>126123</v>
      </c>
      <c r="B53" s="127"/>
      <c r="C53" s="129">
        <f t="shared" si="0"/>
        <v>126123</v>
      </c>
    </row>
    <row r="54" spans="1:3" x14ac:dyDescent="0.3">
      <c r="A54" s="127"/>
      <c r="B54" s="127"/>
      <c r="C54" s="129">
        <f t="shared" si="0"/>
        <v>0</v>
      </c>
    </row>
    <row r="55" spans="1:3" x14ac:dyDescent="0.3">
      <c r="A55" s="127">
        <v>29791</v>
      </c>
      <c r="B55" s="127"/>
      <c r="C55" s="129">
        <f t="shared" si="0"/>
        <v>29791</v>
      </c>
    </row>
    <row r="56" spans="1:3" x14ac:dyDescent="0.3">
      <c r="A56" s="127"/>
      <c r="B56" s="127"/>
      <c r="C56" s="129">
        <f t="shared" si="0"/>
        <v>0</v>
      </c>
    </row>
    <row r="57" spans="1:3" x14ac:dyDescent="0.3">
      <c r="A57" s="127">
        <v>42560</v>
      </c>
      <c r="B57" s="127"/>
      <c r="C57" s="129">
        <f t="shared" si="0"/>
        <v>42560</v>
      </c>
    </row>
    <row r="58" spans="1:3" x14ac:dyDescent="0.3">
      <c r="A58" s="127"/>
      <c r="B58" s="127"/>
      <c r="C58" s="129">
        <f t="shared" si="0"/>
        <v>0</v>
      </c>
    </row>
    <row r="59" spans="1:3" x14ac:dyDescent="0.3">
      <c r="A59" s="127">
        <v>33402</v>
      </c>
      <c r="B59" s="127">
        <v>60910</v>
      </c>
      <c r="C59" s="129">
        <f t="shared" si="0"/>
        <v>94312</v>
      </c>
    </row>
    <row r="60" spans="1:3" x14ac:dyDescent="0.3">
      <c r="A60" s="127"/>
      <c r="B60" s="127"/>
      <c r="C60" s="129">
        <f t="shared" si="0"/>
        <v>0</v>
      </c>
    </row>
    <row r="61" spans="1:3" x14ac:dyDescent="0.3">
      <c r="A61" s="127"/>
      <c r="B61" s="127"/>
      <c r="C61" s="129">
        <f t="shared" si="0"/>
        <v>0</v>
      </c>
    </row>
    <row r="62" spans="1:3" x14ac:dyDescent="0.3">
      <c r="A62" s="128"/>
      <c r="B62" s="128"/>
      <c r="C62" s="129">
        <f t="shared" si="0"/>
        <v>0</v>
      </c>
    </row>
    <row r="63" spans="1:3" x14ac:dyDescent="0.3">
      <c r="C63" s="129">
        <f>SUM(C2:C62)</f>
        <v>4034638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28F8A4D620554784C7E3916FE567FB" ma:contentTypeVersion="8" ma:contentTypeDescription="Create a new document." ma:contentTypeScope="" ma:versionID="6dbfd16052fb44c1259eebf20289326c">
  <xsd:schema xmlns:xsd="http://www.w3.org/2001/XMLSchema" xmlns:xs="http://www.w3.org/2001/XMLSchema" xmlns:p="http://schemas.microsoft.com/office/2006/metadata/properties" xmlns:ns2="1efc6b0c-2b04-437e-b005-ded9d11eb5e9" targetNamespace="http://schemas.microsoft.com/office/2006/metadata/properties" ma:root="true" ma:fieldsID="68b5c9a7ac03969ab11e305a2789b8f0" ns2:_="">
    <xsd:import namespace="1efc6b0c-2b04-437e-b005-ded9d11eb5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fc6b0c-2b04-437e-b005-ded9d11eb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022A3-286F-4EF1-BA0D-F8D1C598C3FF}">
  <ds:schemaRef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1efc6b0c-2b04-437e-b005-ded9d11eb5e9"/>
  </ds:schemaRefs>
</ds:datastoreItem>
</file>

<file path=customXml/itemProps2.xml><?xml version="1.0" encoding="utf-8"?>
<ds:datastoreItem xmlns:ds="http://schemas.openxmlformats.org/officeDocument/2006/customXml" ds:itemID="{49741500-E9F2-4A14-B569-744C34692F28}">
  <ds:schemaRefs>
    <ds:schemaRef ds:uri="http://schemas.microsoft.com/sharepoint/v3/contenttype/forms"/>
  </ds:schemaRefs>
</ds:datastoreItem>
</file>

<file path=customXml/itemProps3.xml><?xml version="1.0" encoding="utf-8"?>
<ds:datastoreItem xmlns:ds="http://schemas.openxmlformats.org/officeDocument/2006/customXml" ds:itemID="{EDED1600-8EA1-42D2-9603-4DE3C2FA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fc6b0c-2b04-437e-b005-ded9d11eb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Signature Tab</vt:lpstr>
      <vt:lpstr>(1) Transportation Report </vt:lpstr>
      <vt:lpstr>(1.1) Transp. Report Example</vt:lpstr>
      <vt:lpstr>(2) Instructions</vt:lpstr>
      <vt:lpstr>(1.1) Revenue-Spending Example</vt:lpstr>
      <vt:lpstr>(3) Reference STF-SLF-SSLF</vt:lpstr>
      <vt:lpstr>Data Reported</vt:lpstr>
      <vt:lpstr>Auto Populate Table</vt:lpstr>
      <vt:lpstr>Sheet1</vt:lpstr>
      <vt:lpstr>'(1) Transportation Report '!Print_Area</vt:lpstr>
      <vt:lpstr>'(1.1) Revenue-Spending Example'!Print_Area</vt:lpstr>
      <vt:lpstr>'(1.1) Transp. Report Example'!Print_Area</vt:lpstr>
      <vt:lpstr>'(3) Reference STF-SLF-SSLF'!Print_Area</vt:lpstr>
      <vt:lpstr>'Signature Tab'!Print_Area</vt:lpstr>
      <vt:lpstr>'(1) Transportation Report '!Print_Titles</vt:lpstr>
      <vt:lpstr>'(1.1) Revenue-Spending Example'!Print_Titles</vt:lpstr>
      <vt:lpstr>'(1.1) Transp. Report Example'!Print_Titles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Alonzo, Sheila EDUC:EX</dc:creator>
  <cp:keywords/>
  <dc:description/>
  <cp:lastModifiedBy>King, Aimee ECC:EX</cp:lastModifiedBy>
  <cp:revision/>
  <dcterms:created xsi:type="dcterms:W3CDTF">2022-02-10T18:32:56Z</dcterms:created>
  <dcterms:modified xsi:type="dcterms:W3CDTF">2026-05-25T23:21:16Z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0x0101006E28F8A4D620554784C7E3916FE567FB</vt:lpwstr>
  </property>
  <property fmtid="{D5CDD505-2E9C-101B-9397-08002B2CF9AE}" pid="3" name="MediaServiceImageTags">
    <vt:lpwstr/>
  </property>
</Properties>
</file>